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élix\Documents\Centro de mayores\"/>
    </mc:Choice>
  </mc:AlternateContent>
  <bookViews>
    <workbookView xWindow="0" yWindow="0" windowWidth="23040" windowHeight="9192" activeTab="1"/>
  </bookViews>
  <sheets>
    <sheet name="IBI" sheetId="1" r:id="rId1"/>
    <sheet name="IBI2019" sheetId="10" r:id="rId2"/>
    <sheet name="Hoja1" sheetId="11" r:id="rId3"/>
    <sheet name="Tarifas agua" sheetId="4" r:id="rId4"/>
    <sheet name="Agua" sheetId="2" r:id="rId5"/>
    <sheet name="Agua.Simplificada" sheetId="5" r:id="rId6"/>
    <sheet name="Electricidad" sheetId="3" r:id="rId7"/>
    <sheet name="Telefonos" sheetId="6" r:id="rId8"/>
    <sheet name="Compra" sheetId="7" r:id="rId9"/>
    <sheet name="Bancos" sheetId="9" r:id="rId10"/>
    <sheet name="TablaMultiplicar" sheetId="12" r:id="rId11"/>
  </sheets>
  <definedNames>
    <definedName name="_xlnm._FilterDatabase" localSheetId="9" hidden="1">Bancos!$A$4:$E$16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0" l="1"/>
  <c r="C17" i="10"/>
  <c r="C16" i="10"/>
  <c r="E8" i="10" l="1"/>
  <c r="E11" i="1"/>
  <c r="D11" i="1"/>
  <c r="E9" i="10" l="1"/>
  <c r="E11" i="10" s="1"/>
  <c r="D8" i="6"/>
  <c r="D9" i="6"/>
  <c r="D10" i="6"/>
  <c r="D11" i="6"/>
  <c r="D7" i="6"/>
  <c r="D29" i="5"/>
  <c r="I25" i="5"/>
  <c r="G20" i="5"/>
  <c r="F20" i="5"/>
  <c r="E20" i="5"/>
  <c r="G24" i="5"/>
  <c r="F24" i="5"/>
  <c r="E24" i="5"/>
  <c r="D49" i="2"/>
  <c r="E46" i="2"/>
  <c r="F46" i="2"/>
  <c r="D46" i="2"/>
  <c r="C42" i="2"/>
  <c r="D34" i="2"/>
  <c r="D33" i="2"/>
  <c r="F21" i="2" l="1"/>
  <c r="E21" i="2"/>
  <c r="C4" i="12" l="1"/>
  <c r="E4" i="12" s="1"/>
  <c r="C5" i="12"/>
  <c r="E5" i="12" s="1"/>
  <c r="C6" i="12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3" i="12"/>
  <c r="E3" i="12" s="1"/>
  <c r="H16" i="9" l="1"/>
  <c r="H10" i="9"/>
  <c r="F14" i="9"/>
  <c r="F8" i="9"/>
  <c r="F5" i="9"/>
  <c r="H5" i="9"/>
  <c r="F6" i="9"/>
  <c r="H6" i="9"/>
  <c r="F7" i="9"/>
  <c r="H7" i="9"/>
  <c r="H8" i="9"/>
  <c r="F9" i="9"/>
  <c r="H9" i="9"/>
  <c r="F10" i="9"/>
  <c r="F11" i="9"/>
  <c r="H11" i="9"/>
  <c r="F12" i="9"/>
  <c r="H12" i="9"/>
  <c r="F13" i="9"/>
  <c r="H13" i="9"/>
  <c r="H14" i="9"/>
  <c r="F15" i="9"/>
  <c r="H15" i="9"/>
  <c r="F16" i="9"/>
  <c r="F17" i="9" l="1"/>
  <c r="C19" i="9" s="1"/>
  <c r="H17" i="9"/>
  <c r="C21" i="9" s="1"/>
  <c r="F49" i="2"/>
  <c r="E49" i="2"/>
  <c r="F47" i="2"/>
  <c r="E47" i="2"/>
  <c r="D47" i="2"/>
  <c r="F33" i="2"/>
  <c r="F34" i="2"/>
  <c r="F35" i="2" s="1"/>
  <c r="D7" i="2"/>
  <c r="G22" i="2"/>
  <c r="E22" i="2"/>
  <c r="F22" i="2"/>
  <c r="F24" i="2"/>
  <c r="E24" i="2"/>
  <c r="D24" i="2"/>
  <c r="D22" i="2"/>
  <c r="D7" i="7" l="1"/>
  <c r="D6" i="7"/>
  <c r="D5" i="7"/>
  <c r="D4" i="7"/>
  <c r="D8" i="7" l="1"/>
  <c r="C15" i="10" l="1"/>
  <c r="D9" i="10"/>
  <c r="D11" i="10" l="1"/>
  <c r="E15" i="10" l="1"/>
  <c r="G15" i="10"/>
  <c r="E17" i="10"/>
  <c r="G17" i="10" s="1"/>
  <c r="E16" i="10" l="1"/>
  <c r="G16" i="10" s="1"/>
  <c r="G18" i="10" s="1"/>
  <c r="E18" i="10" l="1"/>
  <c r="E7" i="1"/>
  <c r="F13" i="1"/>
  <c r="C9" i="1" l="1"/>
  <c r="C12" i="1" s="1"/>
  <c r="C14" i="1" l="1"/>
  <c r="D12" i="1"/>
  <c r="E12" i="1"/>
  <c r="D9" i="2"/>
  <c r="D10" i="2" s="1"/>
  <c r="E34" i="2" l="1"/>
  <c r="G34" i="2" s="1"/>
  <c r="D21" i="2"/>
  <c r="G6" i="9"/>
  <c r="G7" i="9"/>
  <c r="G8" i="9"/>
  <c r="G9" i="9"/>
  <c r="G10" i="9"/>
  <c r="G11" i="9"/>
  <c r="G12" i="9"/>
  <c r="G13" i="9"/>
  <c r="G14" i="9"/>
  <c r="G15" i="9"/>
  <c r="G16" i="9"/>
  <c r="G5" i="9"/>
  <c r="I5" i="9"/>
  <c r="I6" i="9"/>
  <c r="I7" i="9"/>
  <c r="I8" i="9"/>
  <c r="I9" i="9"/>
  <c r="I10" i="9"/>
  <c r="I11" i="9"/>
  <c r="I12" i="9"/>
  <c r="I13" i="9"/>
  <c r="I14" i="9"/>
  <c r="I15" i="9"/>
  <c r="I16" i="9"/>
  <c r="G17" i="9" l="1"/>
  <c r="C20" i="9" s="1"/>
  <c r="D48" i="2"/>
  <c r="D50" i="2" s="1"/>
  <c r="E33" i="2"/>
  <c r="D35" i="2"/>
  <c r="G21" i="2"/>
  <c r="D23" i="2"/>
  <c r="D25" i="2" s="1"/>
  <c r="I17" i="9"/>
  <c r="C22" i="9" s="1"/>
  <c r="E5" i="9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D17" i="7"/>
  <c r="D14" i="7"/>
  <c r="D15" i="7"/>
  <c r="D16" i="7"/>
  <c r="D18" i="7"/>
  <c r="D13" i="7"/>
  <c r="E48" i="2" l="1"/>
  <c r="E50" i="2" s="1"/>
  <c r="G33" i="2"/>
  <c r="G35" i="2" s="1"/>
  <c r="D62" i="2" s="1"/>
  <c r="E35" i="2"/>
  <c r="E23" i="2"/>
  <c r="E25" i="2" s="1"/>
  <c r="D19" i="7"/>
  <c r="D7" i="5"/>
  <c r="E29" i="5" s="1"/>
  <c r="E30" i="5" s="1"/>
  <c r="D8" i="5"/>
  <c r="D16" i="5"/>
  <c r="D23" i="4"/>
  <c r="D24" i="4"/>
  <c r="D22" i="4"/>
  <c r="B23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B17" i="4"/>
  <c r="B18" i="4" s="1"/>
  <c r="D42" i="2"/>
  <c r="B6" i="4"/>
  <c r="B7" i="4" s="1"/>
  <c r="E16" i="2"/>
  <c r="F16" i="2"/>
  <c r="G21" i="5" l="1"/>
  <c r="F21" i="5"/>
  <c r="E21" i="5"/>
  <c r="F48" i="2"/>
  <c r="F50" i="2" s="1"/>
  <c r="G50" i="2" s="1"/>
  <c r="D69" i="2" s="1"/>
  <c r="F23" i="2"/>
  <c r="D31" i="5"/>
  <c r="D30" i="5"/>
  <c r="E31" i="5"/>
  <c r="E32" i="5" s="1"/>
  <c r="D9" i="5"/>
  <c r="D10" i="5" s="1"/>
  <c r="E16" i="5"/>
  <c r="F16" i="5" s="1"/>
  <c r="D37" i="5" s="1"/>
  <c r="B24" i="4"/>
  <c r="E42" i="2"/>
  <c r="D68" i="2" s="1"/>
  <c r="G16" i="2"/>
  <c r="C60" i="2" s="1"/>
  <c r="D12" i="3"/>
  <c r="B11" i="3"/>
  <c r="D9" i="3"/>
  <c r="B7" i="3"/>
  <c r="C8" i="3" s="1"/>
  <c r="G23" i="2" l="1"/>
  <c r="F25" i="2"/>
  <c r="D32" i="5"/>
  <c r="F32" i="5" s="1"/>
  <c r="E40" i="5" s="1"/>
  <c r="D8" i="3"/>
  <c r="B9" i="3"/>
  <c r="G22" i="5" l="1"/>
  <c r="E22" i="5"/>
  <c r="E23" i="5"/>
  <c r="E25" i="5" s="1"/>
  <c r="H20" i="5"/>
  <c r="H21" i="5" s="1"/>
  <c r="F22" i="5"/>
  <c r="F23" i="5"/>
  <c r="F25" i="5" s="1"/>
  <c r="G25" i="2"/>
  <c r="C61" i="2" s="1"/>
  <c r="D70" i="2"/>
  <c r="D11" i="3"/>
  <c r="D9" i="1"/>
  <c r="D14" i="1" s="1"/>
  <c r="E9" i="1"/>
  <c r="E14" i="1" s="1"/>
  <c r="G23" i="5" l="1"/>
  <c r="G25" i="5" s="1"/>
  <c r="H25" i="5" s="1"/>
  <c r="D38" i="5" s="1"/>
  <c r="G27" i="2"/>
  <c r="D59" i="2" s="1"/>
  <c r="D63" i="2" s="1"/>
  <c r="D64" i="2" s="1"/>
  <c r="D65" i="2" s="1"/>
  <c r="C18" i="1"/>
  <c r="E18" i="1" s="1"/>
  <c r="C19" i="1" s="1"/>
  <c r="E19" i="1" s="1"/>
  <c r="G19" i="1" s="1"/>
  <c r="F14" i="1"/>
  <c r="D71" i="2"/>
  <c r="E72" i="2" s="1"/>
  <c r="G18" i="1" l="1"/>
  <c r="G21" i="1" s="1"/>
  <c r="C20" i="1"/>
  <c r="E20" i="1" s="1"/>
  <c r="G20" i="1" s="1"/>
  <c r="E21" i="1"/>
  <c r="E75" i="2"/>
  <c r="E39" i="5"/>
  <c r="E41" i="5" s="1"/>
  <c r="E42" i="5" s="1"/>
  <c r="E43" i="5" s="1"/>
</calcChain>
</file>

<file path=xl/sharedStrings.xml><?xml version="1.0" encoding="utf-8"?>
<sst xmlns="http://schemas.openxmlformats.org/spreadsheetml/2006/main" count="259" uniqueCount="123">
  <si>
    <t xml:space="preserve">Tipo impositivo </t>
  </si>
  <si>
    <t>Cuota</t>
  </si>
  <si>
    <t>Valor catastral nuevo</t>
  </si>
  <si>
    <t>Reducción</t>
  </si>
  <si>
    <t>IBI 2019</t>
  </si>
  <si>
    <t>Valor catastral 2012</t>
  </si>
  <si>
    <t>Base imponible</t>
  </si>
  <si>
    <t>Incremento del valor</t>
  </si>
  <si>
    <t>Primer plazo</t>
  </si>
  <si>
    <t>Cuota año anterior</t>
  </si>
  <si>
    <t>Bonificación</t>
  </si>
  <si>
    <t>Producto</t>
  </si>
  <si>
    <t>A ingresar</t>
  </si>
  <si>
    <t>Segundo plazo</t>
  </si>
  <si>
    <t>Tercer plazo</t>
  </si>
  <si>
    <t>IBI 2020</t>
  </si>
  <si>
    <t>Tarifa número 1: Usos domésticos y asimilados:</t>
  </si>
  <si>
    <t>Hasta metros cúbicos</t>
  </si>
  <si>
    <t>Resto, hasta metros cúbicos</t>
  </si>
  <si>
    <t>Precio marginal</t>
  </si>
  <si>
    <t>En adelante</t>
  </si>
  <si>
    <t>Cuota variable</t>
  </si>
  <si>
    <t>Cuota fija</t>
  </si>
  <si>
    <t>Calibre contador</t>
  </si>
  <si>
    <t>Calibre Contador (en mm) hasta</t>
  </si>
  <si>
    <t>Consumo de agua</t>
  </si>
  <si>
    <t>IVA</t>
  </si>
  <si>
    <t>Potencia contratada</t>
  </si>
  <si>
    <t>Energía consumida</t>
  </si>
  <si>
    <t>Consumo</t>
  </si>
  <si>
    <t>Precio Kw</t>
  </si>
  <si>
    <t xml:space="preserve">Total </t>
  </si>
  <si>
    <t>Impuesto sobre la Electricidad</t>
  </si>
  <si>
    <t>Total factura</t>
  </si>
  <si>
    <t>Alquiler de contadores</t>
  </si>
  <si>
    <t>Días facturados</t>
  </si>
  <si>
    <t>Consumo diario</t>
  </si>
  <si>
    <t>Litros</t>
  </si>
  <si>
    <t>m3</t>
  </si>
  <si>
    <t>Cuota variable, por tramos</t>
  </si>
  <si>
    <t>Tramo 1</t>
  </si>
  <si>
    <t>Tramo 2</t>
  </si>
  <si>
    <t>Tramo 3</t>
  </si>
  <si>
    <t>Numero días</t>
  </si>
  <si>
    <t>Precio del tramo</t>
  </si>
  <si>
    <t>Total</t>
  </si>
  <si>
    <t>Consumo del período</t>
  </si>
  <si>
    <t>Consumo redondeado</t>
  </si>
  <si>
    <t>Precio diario</t>
  </si>
  <si>
    <t>Ordenanza Reguladora de las Tarifas por la Prestación de Servicios Vinculados al Saneamiento y Depuración de Aguas</t>
  </si>
  <si>
    <t>Ordenanza fiscal de la tasa por la prestación de servicios vinculados al abastecimiento de agua</t>
  </si>
  <si>
    <t>Tarifas por consumo de agua</t>
  </si>
  <si>
    <t>Tarifa tratamiento y eliminación de residuos urbano</t>
  </si>
  <si>
    <t>Hasta 0,283 m3 al día</t>
  </si>
  <si>
    <t>Mayor de 0,283 m3 al día</t>
  </si>
  <si>
    <t>Tratamiento de residuos urbanos</t>
  </si>
  <si>
    <t>Tarifa dia</t>
  </si>
  <si>
    <t>Dias facturados</t>
  </si>
  <si>
    <t>Tarifa anual</t>
  </si>
  <si>
    <t>Tratamiento de residuos</t>
  </si>
  <si>
    <t>Recogida de residuos</t>
  </si>
  <si>
    <t>Recogida y tratamiento de residuos urbanos</t>
  </si>
  <si>
    <t>Sanea-miento y depuración de aguas</t>
  </si>
  <si>
    <t>Saneamiento y depuración del agua</t>
  </si>
  <si>
    <t>Tarifa número 1: Usos domésticos y asimilados. Saneamiento y depuración</t>
  </si>
  <si>
    <t>Resumen</t>
  </si>
  <si>
    <t>Importe total abastecimiento</t>
  </si>
  <si>
    <t>Importe basuras</t>
  </si>
  <si>
    <t>Suma</t>
  </si>
  <si>
    <t>Ayuntamiento de Zaragoza</t>
  </si>
  <si>
    <t>Ecociudad Zaragoza</t>
  </si>
  <si>
    <t>Tarifa agregada Consumo y Saneamiento del agua</t>
  </si>
  <si>
    <t>Consumo y depuración de agua</t>
  </si>
  <si>
    <t>Total a satisfacer</t>
  </si>
  <si>
    <t>Pedro Perez Pereda</t>
  </si>
  <si>
    <t>Antonio Gutierrez Lopez</t>
  </si>
  <si>
    <t>Luis Martínez García</t>
  </si>
  <si>
    <t>Guía telefonica</t>
  </si>
  <si>
    <t>Nombre y apellidos</t>
  </si>
  <si>
    <t>Número</t>
  </si>
  <si>
    <t>María Luisa Gomez Sancho</t>
  </si>
  <si>
    <t>Pilar Lorengar Vallejo</t>
  </si>
  <si>
    <t>Culetas cordero</t>
  </si>
  <si>
    <t>Helados</t>
  </si>
  <si>
    <t>Unidades</t>
  </si>
  <si>
    <t>Precio</t>
  </si>
  <si>
    <t>Valor</t>
  </si>
  <si>
    <t>Tomates</t>
  </si>
  <si>
    <t>Lechugas</t>
  </si>
  <si>
    <t>Atún</t>
  </si>
  <si>
    <t>Presupuesto una merienda</t>
  </si>
  <si>
    <t>Patatas fritas</t>
  </si>
  <si>
    <t>Concepto</t>
  </si>
  <si>
    <t>Ingresos</t>
  </si>
  <si>
    <t>Pagos</t>
  </si>
  <si>
    <t>Saldo</t>
  </si>
  <si>
    <t>Pensión</t>
  </si>
  <si>
    <t>Comunidad</t>
  </si>
  <si>
    <t>Electricidad</t>
  </si>
  <si>
    <t>Telefono</t>
  </si>
  <si>
    <t>Efectivo</t>
  </si>
  <si>
    <t>Agua</t>
  </si>
  <si>
    <t xml:space="preserve">Electricidad </t>
  </si>
  <si>
    <t>Fecha</t>
  </si>
  <si>
    <t>Base de cálculo</t>
  </si>
  <si>
    <t>Prespuesto vacaciones</t>
  </si>
  <si>
    <t>Hotel</t>
  </si>
  <si>
    <t>Restaurante</t>
  </si>
  <si>
    <t>Viajes</t>
  </si>
  <si>
    <t>Bar</t>
  </si>
  <si>
    <t>Amplitud del tramo</t>
  </si>
  <si>
    <t>Consumo medio diario</t>
  </si>
  <si>
    <t>Recogida y tratamiento y eliminación de residuos urbanos</t>
  </si>
  <si>
    <t>Detalle de abastecimiento</t>
  </si>
  <si>
    <t>Total abastecimiento</t>
  </si>
  <si>
    <t>Cuota fija ECOCIUDAD</t>
  </si>
  <si>
    <t>Teléfono</t>
  </si>
  <si>
    <t>Tabla del</t>
  </si>
  <si>
    <t>x</t>
  </si>
  <si>
    <t>=</t>
  </si>
  <si>
    <t>% Reducción</t>
  </si>
  <si>
    <t>Cumpleaños</t>
  </si>
  <si>
    <t>Fecha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</si>
</sst>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%"/>
    <numFmt numFmtId="165" formatCode="#,##0.000"/>
    <numFmt numFmtId="166" formatCode="0.000"/>
    <numFmt numFmtId="167" formatCode="0.000%"/>
    <numFmt numFmtId="168" formatCode="0.000000"/>
    <numFmt numFmtId="169" formatCode="\(###\)\ ##\ ##\ ##"/>
    <numFmt numFmtId="170" formatCode="[$-C0A]d\-mmm\-yy;@"/>
    <numFmt numFmtId="171" formatCode="0.0"/>
    <numFmt numFmtId="172" formatCode="0.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202020"/>
      <name val="Arial"/>
      <family val="2"/>
    </font>
    <font>
      <sz val="11"/>
      <color rgb="FF202020"/>
      <name val="Arial"/>
      <family val="2"/>
    </font>
    <font>
      <sz val="18"/>
      <color rgb="FF202020"/>
      <name val="Inherit"/>
    </font>
    <font>
      <b/>
      <sz val="18"/>
      <color rgb="FF202020"/>
      <name val="Inherit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4" fontId="0" fillId="0" borderId="0" xfId="0" applyNumberFormat="1"/>
    <xf numFmtId="9" fontId="0" fillId="0" borderId="0" xfId="1" applyFont="1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" fontId="0" fillId="0" borderId="1" xfId="0" applyNumberFormat="1" applyBorder="1"/>
    <xf numFmtId="4" fontId="0" fillId="0" borderId="5" xfId="0" applyNumberFormat="1" applyBorder="1"/>
    <xf numFmtId="4" fontId="2" fillId="0" borderId="1" xfId="0" applyNumberFormat="1" applyFont="1" applyBorder="1"/>
    <xf numFmtId="9" fontId="0" fillId="0" borderId="1" xfId="0" applyNumberFormat="1" applyBorder="1"/>
    <xf numFmtId="9" fontId="0" fillId="0" borderId="1" xfId="1" applyFont="1" applyBorder="1"/>
    <xf numFmtId="167" fontId="0" fillId="0" borderId="1" xfId="1" applyNumberFormat="1" applyFont="1" applyBorder="1"/>
    <xf numFmtId="167" fontId="0" fillId="0" borderId="5" xfId="1" applyNumberFormat="1" applyFont="1" applyBorder="1"/>
    <xf numFmtId="0" fontId="3" fillId="0" borderId="1" xfId="0" applyFont="1" applyBorder="1"/>
    <xf numFmtId="3" fontId="0" fillId="0" borderId="0" xfId="0" applyNumberFormat="1"/>
    <xf numFmtId="165" fontId="0" fillId="0" borderId="0" xfId="0" applyNumberFormat="1"/>
    <xf numFmtId="165" fontId="2" fillId="0" borderId="1" xfId="0" applyNumberFormat="1" applyFont="1" applyBorder="1"/>
    <xf numFmtId="0" fontId="0" fillId="0" borderId="6" xfId="0" applyBorder="1"/>
    <xf numFmtId="166" fontId="0" fillId="0" borderId="1" xfId="0" applyNumberFormat="1" applyBorder="1"/>
    <xf numFmtId="0" fontId="0" fillId="0" borderId="1" xfId="0" applyBorder="1" applyAlignment="1">
      <alignment horizontal="center" wrapText="1"/>
    </xf>
    <xf numFmtId="0" fontId="2" fillId="0" borderId="3" xfId="0" applyFont="1" applyBorder="1"/>
    <xf numFmtId="166" fontId="2" fillId="0" borderId="1" xfId="0" applyNumberFormat="1" applyFont="1" applyBorder="1"/>
    <xf numFmtId="0" fontId="2" fillId="0" borderId="1" xfId="0" applyFont="1" applyBorder="1"/>
    <xf numFmtId="0" fontId="0" fillId="0" borderId="3" xfId="0" applyFill="1" applyBorder="1"/>
    <xf numFmtId="165" fontId="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168" fontId="5" fillId="0" borderId="1" xfId="0" applyNumberFormat="1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169" fontId="0" fillId="0" borderId="0" xfId="0" applyNumberFormat="1"/>
    <xf numFmtId="0" fontId="3" fillId="0" borderId="1" xfId="0" applyFont="1" applyBorder="1" applyAlignment="1">
      <alignment horizontal="center"/>
    </xf>
    <xf numFmtId="170" fontId="0" fillId="0" borderId="0" xfId="0" applyNumberFormat="1"/>
    <xf numFmtId="171" fontId="0" fillId="0" borderId="1" xfId="0" applyNumberFormat="1" applyBorder="1"/>
    <xf numFmtId="2" fontId="0" fillId="0" borderId="1" xfId="0" applyNumberFormat="1" applyBorder="1"/>
    <xf numFmtId="2" fontId="2" fillId="0" borderId="1" xfId="0" applyNumberFormat="1" applyFont="1" applyBorder="1"/>
    <xf numFmtId="4" fontId="0" fillId="0" borderId="0" xfId="1" applyNumberFormat="1" applyFont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center" wrapText="1"/>
    </xf>
    <xf numFmtId="166" fontId="8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72" fontId="0" fillId="0" borderId="1" xfId="0" applyNumberFormat="1" applyBorder="1"/>
    <xf numFmtId="0" fontId="9" fillId="0" borderId="0" xfId="0" applyFont="1"/>
    <xf numFmtId="0" fontId="10" fillId="2" borderId="0" xfId="0" applyFont="1" applyFill="1"/>
    <xf numFmtId="0" fontId="9" fillId="2" borderId="0" xfId="0" applyFont="1" applyFill="1"/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center" wrapText="1"/>
    </xf>
    <xf numFmtId="170" fontId="0" fillId="0" borderId="1" xfId="0" applyNumberFormat="1" applyBorder="1"/>
    <xf numFmtId="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/>
    <xf numFmtId="0" fontId="0" fillId="0" borderId="1" xfId="0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/>
    <xf numFmtId="10" fontId="0" fillId="0" borderId="1" xfId="0" applyNumberFormat="1" applyBorder="1"/>
    <xf numFmtId="10" fontId="0" fillId="0" borderId="4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1"/>
  <sheetViews>
    <sheetView zoomScale="130" zoomScaleNormal="130" workbookViewId="0">
      <selection activeCell="E11" sqref="E11"/>
    </sheetView>
  </sheetViews>
  <sheetFormatPr baseColWidth="10" defaultRowHeight="14.4"/>
  <cols>
    <col min="2" max="2" width="18.77734375" customWidth="1"/>
  </cols>
  <sheetData>
    <row r="4" spans="2:6">
      <c r="B4" s="5"/>
    </row>
    <row r="5" spans="2:6">
      <c r="B5" s="5"/>
    </row>
    <row r="6" spans="2:6">
      <c r="B6" s="5" t="s">
        <v>4</v>
      </c>
      <c r="C6" s="4">
        <v>2018</v>
      </c>
      <c r="D6" s="4">
        <v>2019</v>
      </c>
      <c r="E6" s="4">
        <v>2020</v>
      </c>
    </row>
    <row r="7" spans="2:6">
      <c r="B7" t="s">
        <v>2</v>
      </c>
      <c r="C7" s="1">
        <v>84991.69</v>
      </c>
      <c r="D7" s="1">
        <v>79042.27</v>
      </c>
      <c r="E7" s="1">
        <f>+D7</f>
        <v>79042.27</v>
      </c>
    </row>
    <row r="8" spans="2:6" ht="17.399999999999999" customHeight="1">
      <c r="B8" s="5" t="s">
        <v>5</v>
      </c>
      <c r="C8" s="1">
        <v>43893.08</v>
      </c>
      <c r="D8" s="1">
        <v>43893.08</v>
      </c>
      <c r="E8" s="1">
        <v>43893.08</v>
      </c>
    </row>
    <row r="9" spans="2:6">
      <c r="B9" t="s">
        <v>7</v>
      </c>
      <c r="C9" s="1">
        <f>+C7-C8</f>
        <v>41098.61</v>
      </c>
      <c r="D9" s="1">
        <f>+D7-D8</f>
        <v>35149.19</v>
      </c>
      <c r="E9" s="1">
        <f>+E7-E8</f>
        <v>35149.19</v>
      </c>
    </row>
    <row r="10" spans="2:6">
      <c r="B10" t="s">
        <v>120</v>
      </c>
      <c r="C10" s="2">
        <v>0.4</v>
      </c>
      <c r="D10" s="2">
        <v>0.3</v>
      </c>
      <c r="E10" s="2">
        <v>0.2</v>
      </c>
    </row>
    <row r="11" spans="2:6">
      <c r="B11" t="s">
        <v>3</v>
      </c>
      <c r="C11" s="2"/>
      <c r="D11" s="55">
        <f>+D7-D12</f>
        <v>7867.5179999999964</v>
      </c>
      <c r="E11" s="55">
        <f>+E7-E12</f>
        <v>5245.0120000000024</v>
      </c>
    </row>
    <row r="12" spans="2:6">
      <c r="B12" t="s">
        <v>6</v>
      </c>
      <c r="C12" s="1">
        <f>+C7-C9*C10</f>
        <v>68552.245999999999</v>
      </c>
      <c r="D12" s="1">
        <f>+$C$12+(D7-$C$12)/4</f>
        <v>71174.752000000008</v>
      </c>
      <c r="E12" s="1">
        <f>+$C$12+(E7-$C$12)/4*2</f>
        <v>73797.258000000002</v>
      </c>
    </row>
    <row r="13" spans="2:6">
      <c r="B13" t="s">
        <v>0</v>
      </c>
      <c r="C13" s="3">
        <v>4.5329999999999997E-3</v>
      </c>
      <c r="D13" s="3">
        <v>4.2389999999999997E-3</v>
      </c>
      <c r="E13" s="3">
        <v>4.1339999999999997E-3</v>
      </c>
      <c r="F13">
        <f>+E13/D13</f>
        <v>0.9752300070771408</v>
      </c>
    </row>
    <row r="14" spans="2:6">
      <c r="B14" s="4" t="s">
        <v>1</v>
      </c>
      <c r="C14" s="6">
        <f>+C12*C13</f>
        <v>310.74733111799998</v>
      </c>
      <c r="D14" s="6">
        <f>+D12*D13</f>
        <v>301.70977372800002</v>
      </c>
      <c r="E14" s="6">
        <f>+E12*E13</f>
        <v>305.07786457199995</v>
      </c>
      <c r="F14">
        <f>+E14/D14</f>
        <v>1.0111633468229517</v>
      </c>
    </row>
    <row r="16" spans="2:6">
      <c r="B16" s="5" t="s">
        <v>15</v>
      </c>
    </row>
    <row r="17" spans="2:7" ht="28.8">
      <c r="B17" s="5"/>
      <c r="C17" s="30" t="s">
        <v>9</v>
      </c>
      <c r="D17" s="30" t="s">
        <v>8</v>
      </c>
      <c r="E17" s="30" t="s">
        <v>11</v>
      </c>
      <c r="F17" s="30" t="s">
        <v>10</v>
      </c>
      <c r="G17" s="30" t="s">
        <v>12</v>
      </c>
    </row>
    <row r="18" spans="2:7">
      <c r="B18" s="12" t="s">
        <v>8</v>
      </c>
      <c r="C18" s="17">
        <f>+D14</f>
        <v>301.70977372800002</v>
      </c>
      <c r="D18" s="20">
        <v>0.25</v>
      </c>
      <c r="E18" s="17">
        <f>+C18*D18</f>
        <v>75.427443432000004</v>
      </c>
      <c r="F18" s="20">
        <v>0.04</v>
      </c>
      <c r="G18" s="17">
        <f>+E18*(1-F18)</f>
        <v>72.410345694720007</v>
      </c>
    </row>
    <row r="19" spans="2:7">
      <c r="B19" s="12" t="s">
        <v>13</v>
      </c>
      <c r="C19" s="17">
        <f>+$E$14-$E$18</f>
        <v>229.65042113999993</v>
      </c>
      <c r="D19" s="20">
        <v>0.5</v>
      </c>
      <c r="E19" s="17">
        <f>+C19*D19</f>
        <v>114.82521056999997</v>
      </c>
      <c r="F19" s="20">
        <v>0</v>
      </c>
      <c r="G19" s="17">
        <f>+E19*(1-F19)</f>
        <v>114.82521056999997</v>
      </c>
    </row>
    <row r="20" spans="2:7">
      <c r="B20" s="12" t="s">
        <v>14</v>
      </c>
      <c r="C20" s="17">
        <f>+$E$14-$E$18</f>
        <v>229.65042113999993</v>
      </c>
      <c r="D20" s="20">
        <v>0.5</v>
      </c>
      <c r="E20" s="17">
        <f>+C20*D20</f>
        <v>114.82521056999997</v>
      </c>
      <c r="F20" s="20">
        <v>0</v>
      </c>
      <c r="G20" s="17">
        <f>+E20*(1-F20)</f>
        <v>114.82521056999997</v>
      </c>
    </row>
    <row r="21" spans="2:7">
      <c r="B21" s="34" t="s">
        <v>45</v>
      </c>
      <c r="C21" s="15"/>
      <c r="D21" s="15"/>
      <c r="E21" s="19">
        <f>SUM(E18:E20)</f>
        <v>305.07786457199995</v>
      </c>
      <c r="F21" s="16"/>
      <c r="G21" s="19">
        <f>SUM(G18:G20)</f>
        <v>302.06076683471997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8"/>
  <sheetViews>
    <sheetView tabSelected="1" workbookViewId="0">
      <selection activeCell="F15" sqref="F15"/>
    </sheetView>
  </sheetViews>
  <sheetFormatPr baseColWidth="10" defaultRowHeight="14.4"/>
  <cols>
    <col min="2" max="2" width="18.77734375" customWidth="1"/>
  </cols>
  <sheetData>
    <row r="4" spans="2:7">
      <c r="B4" s="5"/>
    </row>
    <row r="5" spans="2:7">
      <c r="B5" s="5"/>
    </row>
    <row r="6" spans="2:7">
      <c r="B6" s="5" t="s">
        <v>4</v>
      </c>
      <c r="C6" s="4">
        <v>2018</v>
      </c>
      <c r="D6" s="4">
        <v>2019</v>
      </c>
      <c r="E6" s="4">
        <v>2020</v>
      </c>
    </row>
    <row r="7" spans="2:7">
      <c r="B7" t="s">
        <v>2</v>
      </c>
      <c r="C7" s="1"/>
      <c r="D7" s="1">
        <v>79042.27</v>
      </c>
      <c r="E7" s="1">
        <v>79042.27</v>
      </c>
    </row>
    <row r="8" spans="2:7">
      <c r="B8" t="s">
        <v>3</v>
      </c>
      <c r="C8" s="2"/>
      <c r="D8" s="55">
        <v>7867.52</v>
      </c>
      <c r="E8" s="55">
        <f>+D8*0.666666666666667</f>
        <v>5245.0133333333333</v>
      </c>
    </row>
    <row r="9" spans="2:7">
      <c r="B9" t="s">
        <v>6</v>
      </c>
      <c r="C9" s="1"/>
      <c r="D9" s="1">
        <f>+D7-D8</f>
        <v>71174.75</v>
      </c>
      <c r="E9" s="1">
        <f>+E7-E8</f>
        <v>73797.256666666668</v>
      </c>
    </row>
    <row r="10" spans="2:7">
      <c r="B10" t="s">
        <v>0</v>
      </c>
      <c r="C10" s="3"/>
      <c r="D10" s="3">
        <v>4.2389999999999997E-3</v>
      </c>
      <c r="E10" s="82">
        <v>4.1339999999999997E-3</v>
      </c>
    </row>
    <row r="11" spans="2:7">
      <c r="B11" s="4" t="s">
        <v>1</v>
      </c>
      <c r="C11" s="6">
        <v>310.75</v>
      </c>
      <c r="D11" s="6">
        <f>+D9*D10</f>
        <v>301.70976524999998</v>
      </c>
      <c r="E11" s="6">
        <f>+E9*E10</f>
        <v>305.07785905999998</v>
      </c>
    </row>
    <row r="12" spans="2:7">
      <c r="B12" s="4"/>
      <c r="C12" s="6"/>
      <c r="D12" s="6"/>
      <c r="E12" s="6"/>
    </row>
    <row r="13" spans="2:7">
      <c r="B13" s="5" t="s">
        <v>4</v>
      </c>
    </row>
    <row r="14" spans="2:7" ht="28.8">
      <c r="B14" s="5"/>
      <c r="C14" s="30" t="s">
        <v>104</v>
      </c>
      <c r="D14" s="30" t="s">
        <v>8</v>
      </c>
      <c r="E14" s="30" t="s">
        <v>11</v>
      </c>
      <c r="F14" s="30" t="s">
        <v>10</v>
      </c>
      <c r="G14" s="30" t="s">
        <v>12</v>
      </c>
    </row>
    <row r="15" spans="2:7">
      <c r="B15" s="12" t="s">
        <v>8</v>
      </c>
      <c r="C15" s="17">
        <f>+C11</f>
        <v>310.75</v>
      </c>
      <c r="D15" s="83">
        <v>0.25</v>
      </c>
      <c r="E15" s="17">
        <f>+C15*D15</f>
        <v>77.6875</v>
      </c>
      <c r="F15" s="20">
        <v>0.04</v>
      </c>
      <c r="G15" s="17">
        <f>+E15*(1-F15)</f>
        <v>74.58</v>
      </c>
    </row>
    <row r="16" spans="2:7">
      <c r="B16" s="12" t="s">
        <v>13</v>
      </c>
      <c r="C16" s="17">
        <f>+C11</f>
        <v>310.75</v>
      </c>
      <c r="D16" s="83">
        <v>0.375</v>
      </c>
      <c r="E16" s="17">
        <f>+C16*D16</f>
        <v>116.53125</v>
      </c>
      <c r="F16" s="20">
        <v>0</v>
      </c>
      <c r="G16" s="17">
        <f>+E16*(1-F16)</f>
        <v>116.53125</v>
      </c>
    </row>
    <row r="17" spans="2:7">
      <c r="B17" s="12" t="s">
        <v>14</v>
      </c>
      <c r="C17" s="17">
        <f>+C16</f>
        <v>310.75</v>
      </c>
      <c r="D17" s="83">
        <v>0.375</v>
      </c>
      <c r="E17" s="17">
        <f>+C17*D17</f>
        <v>116.53125</v>
      </c>
      <c r="F17" s="20">
        <v>0</v>
      </c>
      <c r="G17" s="17">
        <f>+E17*(1-F17)</f>
        <v>116.53125</v>
      </c>
    </row>
    <row r="18" spans="2:7">
      <c r="B18" s="34" t="s">
        <v>45</v>
      </c>
      <c r="C18" s="15"/>
      <c r="D18" s="84">
        <f>SUM(D15:D17)</f>
        <v>1</v>
      </c>
      <c r="E18" s="19">
        <f>SUM(E15:E17)</f>
        <v>310.75</v>
      </c>
      <c r="F18" s="16"/>
      <c r="G18" s="19">
        <f>SUM(G15:G17)</f>
        <v>307.64249999999998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workbookViewId="0">
      <selection sqref="A1:XFD1048576"/>
    </sheetView>
  </sheetViews>
  <sheetFormatPr baseColWidth="10" defaultRowHeight="14.4"/>
  <cols>
    <col min="3" max="3" width="12.5546875" customWidth="1"/>
    <col min="9" max="9" width="12.5546875" customWidth="1"/>
  </cols>
  <sheetData>
    <row r="2" spans="1:10">
      <c r="A2" s="4" t="s">
        <v>51</v>
      </c>
    </row>
    <row r="3" spans="1:10">
      <c r="A3" s="4" t="s">
        <v>16</v>
      </c>
    </row>
    <row r="4" spans="1:10" ht="55.2">
      <c r="A4" s="7" t="s">
        <v>17</v>
      </c>
      <c r="B4" s="7" t="s">
        <v>1</v>
      </c>
      <c r="C4" s="7" t="s">
        <v>18</v>
      </c>
      <c r="D4" s="7" t="s">
        <v>19</v>
      </c>
      <c r="G4" s="7" t="s">
        <v>24</v>
      </c>
      <c r="H4" s="7" t="s">
        <v>25</v>
      </c>
      <c r="I4" s="7" t="s">
        <v>62</v>
      </c>
      <c r="J4" s="7" t="s">
        <v>45</v>
      </c>
    </row>
    <row r="5" spans="1:10">
      <c r="A5" s="10">
        <v>0</v>
      </c>
      <c r="B5" s="8">
        <v>0</v>
      </c>
      <c r="C5" s="11">
        <v>0.2</v>
      </c>
      <c r="D5" s="11">
        <v>0.21</v>
      </c>
      <c r="G5" s="9">
        <v>20</v>
      </c>
      <c r="H5" s="41">
        <v>7.6579999999999995E-2</v>
      </c>
      <c r="I5" s="41">
        <v>5.4019999999999999E-2</v>
      </c>
      <c r="J5" s="41">
        <f t="shared" ref="J5:J19" si="0">+H5+I5</f>
        <v>0.13059999999999999</v>
      </c>
    </row>
    <row r="6" spans="1:10">
      <c r="A6" s="10">
        <v>0.2</v>
      </c>
      <c r="B6" s="8">
        <f>B5+ROUND(C5*D5,2)</f>
        <v>0.04</v>
      </c>
      <c r="C6" s="11">
        <v>0.41599999999999998</v>
      </c>
      <c r="D6" s="11">
        <v>0.503</v>
      </c>
      <c r="G6" s="9">
        <v>25</v>
      </c>
      <c r="H6" s="41">
        <v>0.50815699999999997</v>
      </c>
      <c r="I6" s="41">
        <v>0.36627900000000002</v>
      </c>
      <c r="J6" s="41">
        <f t="shared" si="0"/>
        <v>0.87443599999999999</v>
      </c>
    </row>
    <row r="7" spans="1:10" ht="16.8" customHeight="1">
      <c r="A7" s="10">
        <v>0.61599999999999999</v>
      </c>
      <c r="B7" s="8">
        <f>B6+ROUND(C6*D6,2)</f>
        <v>0.25</v>
      </c>
      <c r="C7" s="9" t="s">
        <v>20</v>
      </c>
      <c r="D7" s="11">
        <v>1.258</v>
      </c>
      <c r="G7" s="9">
        <v>30</v>
      </c>
      <c r="H7" s="41">
        <v>0.79923599999999995</v>
      </c>
      <c r="I7" s="41">
        <v>0.57608999999999999</v>
      </c>
      <c r="J7" s="41">
        <f t="shared" si="0"/>
        <v>1.3753259999999998</v>
      </c>
    </row>
    <row r="8" spans="1:10">
      <c r="G8" s="9">
        <v>40</v>
      </c>
      <c r="H8" s="41">
        <v>1.482534</v>
      </c>
      <c r="I8" s="41">
        <v>1.068611</v>
      </c>
      <c r="J8" s="41">
        <f t="shared" si="0"/>
        <v>2.551145</v>
      </c>
    </row>
    <row r="9" spans="1:10" s="4" customFormat="1">
      <c r="A9" s="4" t="s">
        <v>52</v>
      </c>
      <c r="G9" s="9">
        <v>50</v>
      </c>
      <c r="H9" s="41">
        <v>2.4285429999999999</v>
      </c>
      <c r="I9" s="41">
        <v>1.7504949999999999</v>
      </c>
      <c r="J9" s="41">
        <f t="shared" si="0"/>
        <v>4.1790380000000003</v>
      </c>
    </row>
    <row r="10" spans="1:10" ht="28.8">
      <c r="A10" s="12" t="s">
        <v>25</v>
      </c>
      <c r="B10" s="12"/>
      <c r="C10" s="40" t="s">
        <v>59</v>
      </c>
      <c r="D10" s="40" t="s">
        <v>60</v>
      </c>
      <c r="G10" s="9">
        <v>65</v>
      </c>
      <c r="H10" s="41">
        <v>4.216958</v>
      </c>
      <c r="I10" s="41">
        <v>3.0395840000000001</v>
      </c>
      <c r="J10" s="41">
        <f t="shared" si="0"/>
        <v>7.2565419999999996</v>
      </c>
    </row>
    <row r="11" spans="1:10">
      <c r="A11" s="12" t="s">
        <v>53</v>
      </c>
      <c r="B11" s="12"/>
      <c r="C11" s="12">
        <v>17.71</v>
      </c>
      <c r="D11" s="12">
        <v>34.65</v>
      </c>
      <c r="G11" s="9">
        <v>80</v>
      </c>
      <c r="H11" s="41">
        <v>6.6603009999999996</v>
      </c>
      <c r="I11" s="41">
        <v>4.8007460000000002</v>
      </c>
      <c r="J11" s="41">
        <f t="shared" si="0"/>
        <v>11.461047000000001</v>
      </c>
    </row>
    <row r="12" spans="1:10">
      <c r="A12" s="12" t="s">
        <v>54</v>
      </c>
      <c r="B12" s="12"/>
      <c r="C12" s="12">
        <v>19.48</v>
      </c>
      <c r="D12" s="12">
        <v>38.15</v>
      </c>
      <c r="G12" s="9">
        <v>100</v>
      </c>
      <c r="H12" s="41">
        <v>10.787221000000001</v>
      </c>
      <c r="I12" s="41">
        <v>7.7754310000000002</v>
      </c>
      <c r="J12" s="41">
        <f t="shared" si="0"/>
        <v>18.562652</v>
      </c>
    </row>
    <row r="13" spans="1:10">
      <c r="G13" s="9">
        <v>125</v>
      </c>
      <c r="H13" s="41">
        <v>17.580728000000001</v>
      </c>
      <c r="I13" s="41">
        <v>12.672192000000001</v>
      </c>
      <c r="J13" s="41">
        <f t="shared" si="0"/>
        <v>30.252920000000003</v>
      </c>
    </row>
    <row r="14" spans="1:10">
      <c r="A14" s="4" t="s">
        <v>64</v>
      </c>
      <c r="G14" s="9">
        <v>150</v>
      </c>
      <c r="H14" s="41">
        <v>26.297087999999999</v>
      </c>
      <c r="I14" s="41">
        <v>18.954946</v>
      </c>
      <c r="J14" s="41">
        <f t="shared" si="0"/>
        <v>45.252033999999995</v>
      </c>
    </row>
    <row r="15" spans="1:10" ht="55.2">
      <c r="A15" s="7" t="s">
        <v>17</v>
      </c>
      <c r="B15" s="7" t="s">
        <v>1</v>
      </c>
      <c r="C15" s="7" t="s">
        <v>18</v>
      </c>
      <c r="D15" s="7" t="s">
        <v>19</v>
      </c>
      <c r="G15" s="9">
        <v>200</v>
      </c>
      <c r="H15" s="41">
        <v>49.392297999999997</v>
      </c>
      <c r="I15" s="41">
        <v>35.601979</v>
      </c>
      <c r="J15" s="41">
        <f t="shared" si="0"/>
        <v>84.994276999999997</v>
      </c>
    </row>
    <row r="16" spans="1:10">
      <c r="A16" s="10">
        <v>0</v>
      </c>
      <c r="B16" s="8">
        <v>0</v>
      </c>
      <c r="C16" s="11">
        <v>0.2</v>
      </c>
      <c r="D16" s="11">
        <v>0.26400000000000001</v>
      </c>
      <c r="G16" s="9">
        <v>250</v>
      </c>
      <c r="H16" s="41">
        <v>80.235658000000001</v>
      </c>
      <c r="I16" s="41">
        <v>57.833880000000001</v>
      </c>
      <c r="J16" s="41">
        <f t="shared" si="0"/>
        <v>138.06953799999999</v>
      </c>
    </row>
    <row r="17" spans="1:10">
      <c r="A17" s="10">
        <v>0.2</v>
      </c>
      <c r="B17" s="8">
        <f>B16+ROUND(C16*D16,2)</f>
        <v>0.05</v>
      </c>
      <c r="C17" s="11">
        <v>0.41599999999999998</v>
      </c>
      <c r="D17" s="11">
        <v>0.63300000000000001</v>
      </c>
      <c r="G17" s="9">
        <v>300</v>
      </c>
      <c r="H17" s="41">
        <v>119.482097</v>
      </c>
      <c r="I17" s="41">
        <v>86.122721999999996</v>
      </c>
      <c r="J17" s="41">
        <f t="shared" si="0"/>
        <v>205.60481899999999</v>
      </c>
    </row>
    <row r="18" spans="1:10">
      <c r="A18" s="10">
        <v>0.61599999999999999</v>
      </c>
      <c r="B18" s="8">
        <f>B17+ROUND(C17*D17,2)</f>
        <v>0.31</v>
      </c>
      <c r="C18" s="9" t="s">
        <v>20</v>
      </c>
      <c r="D18" s="11">
        <v>1.5820000000000001</v>
      </c>
      <c r="G18" s="9">
        <v>400</v>
      </c>
      <c r="H18" s="41">
        <v>224.665516</v>
      </c>
      <c r="I18" s="41">
        <v>161.938951</v>
      </c>
      <c r="J18" s="41">
        <f t="shared" si="0"/>
        <v>386.604467</v>
      </c>
    </row>
    <row r="19" spans="1:10">
      <c r="G19" s="9">
        <v>500</v>
      </c>
      <c r="H19" s="41">
        <v>366.49785700000001</v>
      </c>
      <c r="I19" s="41">
        <v>264.17173100000002</v>
      </c>
      <c r="J19" s="41">
        <f t="shared" si="0"/>
        <v>630.66958799999998</v>
      </c>
    </row>
    <row r="20" spans="1:10">
      <c r="A20" s="4" t="s">
        <v>71</v>
      </c>
    </row>
    <row r="21" spans="1:10" ht="55.2">
      <c r="A21" s="7" t="s">
        <v>17</v>
      </c>
      <c r="B21" s="7" t="s">
        <v>1</v>
      </c>
      <c r="C21" s="7" t="s">
        <v>18</v>
      </c>
      <c r="D21" s="7" t="s">
        <v>19</v>
      </c>
    </row>
    <row r="22" spans="1:10">
      <c r="A22" s="10">
        <v>0</v>
      </c>
      <c r="B22" s="8">
        <v>0</v>
      </c>
      <c r="C22" s="11">
        <v>0.2</v>
      </c>
      <c r="D22" s="11">
        <f>+D5+D16</f>
        <v>0.47399999999999998</v>
      </c>
    </row>
    <row r="23" spans="1:10">
      <c r="A23" s="10">
        <v>0.2</v>
      </c>
      <c r="B23" s="8">
        <f>B22+ROUND(C22*D22,2)</f>
        <v>0.09</v>
      </c>
      <c r="C23" s="11">
        <v>0.41599999999999998</v>
      </c>
      <c r="D23" s="11">
        <f>+D6+D17</f>
        <v>1.1360000000000001</v>
      </c>
    </row>
    <row r="24" spans="1:10">
      <c r="A24" s="10">
        <v>0.61599999999999999</v>
      </c>
      <c r="B24" s="8">
        <f>B23+ROUND(C23*D23,2)</f>
        <v>0.55999999999999994</v>
      </c>
      <c r="C24" s="9" t="s">
        <v>20</v>
      </c>
      <c r="D24" s="11">
        <f>+D7+D18</f>
        <v>2.84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D21" sqref="D21"/>
    </sheetView>
  </sheetViews>
  <sheetFormatPr baseColWidth="10" defaultRowHeight="14.4"/>
  <cols>
    <col min="2" max="2" width="14.21875" customWidth="1"/>
    <col min="15" max="15" width="12.6640625" bestFit="1" customWidth="1"/>
  </cols>
  <sheetData>
    <row r="1" spans="1:7" s="4" customFormat="1"/>
    <row r="3" spans="1:7" ht="13.8" customHeight="1"/>
    <row r="7" spans="1:7">
      <c r="B7" t="s">
        <v>46</v>
      </c>
      <c r="D7">
        <f>765-723</f>
        <v>42</v>
      </c>
      <c r="E7" t="s">
        <v>38</v>
      </c>
    </row>
    <row r="8" spans="1:7">
      <c r="B8" t="s">
        <v>35</v>
      </c>
      <c r="D8">
        <v>90</v>
      </c>
    </row>
    <row r="9" spans="1:7">
      <c r="B9" t="s">
        <v>111</v>
      </c>
      <c r="D9" s="25">
        <f>ROUND(D7/D8*1000,0)</f>
        <v>467</v>
      </c>
      <c r="E9" t="s">
        <v>37</v>
      </c>
    </row>
    <row r="10" spans="1:7">
      <c r="B10" t="s">
        <v>111</v>
      </c>
      <c r="D10" s="26">
        <f>+D9/1000</f>
        <v>0.46700000000000003</v>
      </c>
      <c r="E10" t="s">
        <v>38</v>
      </c>
    </row>
    <row r="12" spans="1:7" s="69" customFormat="1" ht="18">
      <c r="A12" s="70" t="s">
        <v>113</v>
      </c>
      <c r="B12" s="71"/>
      <c r="C12" s="71"/>
    </row>
    <row r="13" spans="1:7">
      <c r="B13" s="5" t="s">
        <v>22</v>
      </c>
    </row>
    <row r="14" spans="1:7">
      <c r="D14" t="s">
        <v>23</v>
      </c>
      <c r="E14" s="13">
        <v>20</v>
      </c>
    </row>
    <row r="15" spans="1:7" ht="28.8">
      <c r="D15" s="5"/>
      <c r="E15" s="30" t="s">
        <v>48</v>
      </c>
      <c r="F15" s="30" t="s">
        <v>43</v>
      </c>
      <c r="G15" s="30" t="s">
        <v>46</v>
      </c>
    </row>
    <row r="16" spans="1:7">
      <c r="D16" s="12" t="s">
        <v>22</v>
      </c>
      <c r="E16" s="68">
        <f>+'Tarifas agua'!H5</f>
        <v>7.6579999999999995E-2</v>
      </c>
      <c r="F16" s="17">
        <f>+$D$8</f>
        <v>90</v>
      </c>
      <c r="G16" s="19">
        <f>+E16*F16</f>
        <v>6.8921999999999999</v>
      </c>
    </row>
    <row r="18" spans="1:10">
      <c r="B18" s="5" t="s">
        <v>39</v>
      </c>
      <c r="D18" s="1"/>
      <c r="E18" s="1"/>
    </row>
    <row r="19" spans="1:10">
      <c r="B19" s="5"/>
      <c r="C19" s="5"/>
      <c r="D19" s="64" t="s">
        <v>40</v>
      </c>
      <c r="E19" s="64" t="s">
        <v>41</v>
      </c>
      <c r="F19" s="64" t="s">
        <v>42</v>
      </c>
      <c r="G19" s="64" t="s">
        <v>45</v>
      </c>
      <c r="H19" s="36"/>
      <c r="I19" s="36"/>
      <c r="J19" s="36"/>
    </row>
    <row r="20" spans="1:10">
      <c r="B20" s="61" t="s">
        <v>110</v>
      </c>
      <c r="C20" s="62"/>
      <c r="D20" s="63">
        <v>0.2</v>
      </c>
      <c r="E20" s="63">
        <v>0.41599999999999998</v>
      </c>
      <c r="F20" s="63"/>
      <c r="G20" s="63"/>
      <c r="H20" s="36"/>
      <c r="I20" s="36"/>
      <c r="J20" s="36"/>
    </row>
    <row r="21" spans="1:10">
      <c r="B21" s="56" t="s">
        <v>111</v>
      </c>
      <c r="C21" s="57"/>
      <c r="D21" s="29">
        <f>+IF($D$10&gt;'Tarifas agua'!$A$6,'Tarifas agua'!$A$6,$D$10)</f>
        <v>0.2</v>
      </c>
      <c r="E21" s="29">
        <f>+IF($D$10&lt;'Tarifas agua'!$A$6,0,IF($D$10&gt;'Tarifas agua'!$A$7,'Tarifas agua'!$C$6,$D$10-'Tarifas agua'!$A$6))</f>
        <v>0.26700000000000002</v>
      </c>
      <c r="F21" s="29">
        <f>+IF($D$10&lt;'Tarifas agua'!$A$7,0,Agua!$D$10-'Tarifas agua'!$A$7)</f>
        <v>0</v>
      </c>
      <c r="G21" s="29">
        <f>SUM(D21:F21)</f>
        <v>0.46700000000000003</v>
      </c>
      <c r="H21" s="36"/>
      <c r="I21" s="36"/>
      <c r="J21" s="36"/>
    </row>
    <row r="22" spans="1:10">
      <c r="B22" s="56" t="s">
        <v>43</v>
      </c>
      <c r="C22" s="57"/>
      <c r="D22" s="65">
        <f>+$D$8</f>
        <v>90</v>
      </c>
      <c r="E22" s="65">
        <f>+$D$8</f>
        <v>90</v>
      </c>
      <c r="F22" s="65">
        <f>+$D$8</f>
        <v>90</v>
      </c>
      <c r="G22" s="65">
        <f>+$D$8</f>
        <v>90</v>
      </c>
      <c r="H22" s="36"/>
      <c r="I22" s="36"/>
      <c r="J22" s="36"/>
    </row>
    <row r="23" spans="1:10">
      <c r="B23" s="56" t="s">
        <v>47</v>
      </c>
      <c r="C23" s="57"/>
      <c r="D23" s="52">
        <f>ROUND(D21*D22,0)</f>
        <v>18</v>
      </c>
      <c r="E23" s="52">
        <f>MIN(ROUND(E21*E22,0),MAX($D$7-D23,0))</f>
        <v>24</v>
      </c>
      <c r="F23" s="52">
        <f>MIN(ROUND(F21*F22,0),MAX($D$9-D23-E23,0))</f>
        <v>0</v>
      </c>
      <c r="G23" s="53">
        <f>SUM(D23:F23)</f>
        <v>42</v>
      </c>
      <c r="H23" s="36"/>
      <c r="I23" s="36"/>
      <c r="J23" s="36"/>
    </row>
    <row r="24" spans="1:10">
      <c r="B24" s="56" t="s">
        <v>44</v>
      </c>
      <c r="C24" s="57"/>
      <c r="D24" s="29">
        <f>+'Tarifas agua'!D5</f>
        <v>0.21</v>
      </c>
      <c r="E24" s="29">
        <f>+'Tarifas agua'!D6</f>
        <v>0.503</v>
      </c>
      <c r="F24" s="29">
        <f>+'Tarifas agua'!D7</f>
        <v>1.258</v>
      </c>
      <c r="G24" s="36"/>
      <c r="H24" s="36"/>
      <c r="I24" s="36"/>
      <c r="J24" s="36"/>
    </row>
    <row r="25" spans="1:10">
      <c r="B25" s="59" t="s">
        <v>21</v>
      </c>
      <c r="C25" s="60"/>
      <c r="D25" s="54">
        <f>+D23*D24</f>
        <v>3.78</v>
      </c>
      <c r="E25" s="54">
        <f>+E23*E24</f>
        <v>12.071999999999999</v>
      </c>
      <c r="F25" s="54">
        <f>+F23*F24</f>
        <v>0</v>
      </c>
      <c r="G25" s="54">
        <f>SUM(D25:F25)</f>
        <v>15.851999999999999</v>
      </c>
      <c r="H25" s="36"/>
      <c r="I25" s="36"/>
      <c r="J25" s="36"/>
    </row>
    <row r="26" spans="1:10">
      <c r="G26" s="35"/>
      <c r="H26" s="36"/>
      <c r="I26" s="36"/>
      <c r="J26" s="36"/>
    </row>
    <row r="27" spans="1:10">
      <c r="E27" s="12" t="s">
        <v>114</v>
      </c>
      <c r="F27" s="12"/>
      <c r="G27" s="27">
        <f>+G16+G25</f>
        <v>22.744199999999999</v>
      </c>
      <c r="H27" s="36"/>
      <c r="I27" s="36"/>
      <c r="J27" s="36"/>
    </row>
    <row r="28" spans="1:10">
      <c r="G28" s="35"/>
      <c r="H28" s="36"/>
      <c r="I28" s="36"/>
      <c r="J28" s="36"/>
    </row>
    <row r="30" spans="1:10" s="69" customFormat="1" ht="18">
      <c r="A30" s="70" t="s">
        <v>112</v>
      </c>
      <c r="B30" s="71"/>
      <c r="C30" s="71"/>
      <c r="D30" s="71"/>
      <c r="E30" s="71"/>
      <c r="F30" s="71"/>
    </row>
    <row r="32" spans="1:10" ht="28.8">
      <c r="B32" s="33" t="s">
        <v>55</v>
      </c>
      <c r="C32" s="33"/>
      <c r="D32" s="67" t="s">
        <v>58</v>
      </c>
      <c r="E32" s="40" t="s">
        <v>56</v>
      </c>
      <c r="F32" s="40" t="s">
        <v>57</v>
      </c>
      <c r="G32" s="67" t="s">
        <v>45</v>
      </c>
    </row>
    <row r="33" spans="1:8">
      <c r="B33" s="56" t="s">
        <v>60</v>
      </c>
      <c r="C33" s="57"/>
      <c r="D33" s="12">
        <f>+IF($D$10&lt;0.283,'Tarifas agua'!D11,'Tarifas agua'!D12)</f>
        <v>38.15</v>
      </c>
      <c r="E33" s="12">
        <f>TRUNC(D33/365,4)</f>
        <v>0.1045</v>
      </c>
      <c r="F33" s="12">
        <f>+D8</f>
        <v>90</v>
      </c>
      <c r="G33" s="66">
        <f>ROUND(E33*F33,2)</f>
        <v>9.41</v>
      </c>
    </row>
    <row r="34" spans="1:8">
      <c r="B34" s="56" t="s">
        <v>59</v>
      </c>
      <c r="C34" s="57"/>
      <c r="D34" s="12">
        <f>+IF($D$10&lt;0.283,'Tarifas agua'!C11,'Tarifas agua'!C12)</f>
        <v>19.48</v>
      </c>
      <c r="E34" s="12">
        <f>TRUNC(D34/365,4)</f>
        <v>5.33E-2</v>
      </c>
      <c r="F34" s="12">
        <f>+F33</f>
        <v>90</v>
      </c>
      <c r="G34" s="66">
        <f>ROUND(E34*F34,2)</f>
        <v>4.8</v>
      </c>
    </row>
    <row r="35" spans="1:8">
      <c r="B35" s="56" t="s">
        <v>45</v>
      </c>
      <c r="C35" s="57"/>
      <c r="D35" s="12">
        <f>SUM(D33:D34)</f>
        <v>57.629999999999995</v>
      </c>
      <c r="E35" s="12">
        <f>SUM(E33:E34)</f>
        <v>0.1578</v>
      </c>
      <c r="F35" s="12">
        <f>+F34</f>
        <v>90</v>
      </c>
      <c r="G35" s="33">
        <f>SUM(G33:G34)</f>
        <v>14.21</v>
      </c>
    </row>
    <row r="38" spans="1:8" s="69" customFormat="1" ht="18">
      <c r="A38" s="70" t="s">
        <v>63</v>
      </c>
      <c r="B38" s="71"/>
      <c r="C38" s="71"/>
      <c r="D38" s="71"/>
      <c r="E38"/>
      <c r="F38"/>
    </row>
    <row r="39" spans="1:8">
      <c r="B39" s="5" t="s">
        <v>115</v>
      </c>
    </row>
    <row r="40" spans="1:8">
      <c r="B40" t="s">
        <v>23</v>
      </c>
      <c r="C40" s="13">
        <v>20</v>
      </c>
    </row>
    <row r="41" spans="1:8" ht="28.8">
      <c r="B41" s="5"/>
      <c r="C41" s="30" t="s">
        <v>48</v>
      </c>
      <c r="D41" s="30" t="s">
        <v>43</v>
      </c>
      <c r="E41" s="30" t="s">
        <v>46</v>
      </c>
    </row>
    <row r="42" spans="1:8">
      <c r="B42" s="12" t="s">
        <v>22</v>
      </c>
      <c r="C42" s="29">
        <f>+'Tarifas agua'!I5</f>
        <v>5.4019999999999999E-2</v>
      </c>
      <c r="D42" s="17">
        <f>+$D$8</f>
        <v>90</v>
      </c>
      <c r="E42" s="17">
        <f>+C42*D42</f>
        <v>4.8617999999999997</v>
      </c>
    </row>
    <row r="44" spans="1:8">
      <c r="B44" s="5" t="s">
        <v>39</v>
      </c>
      <c r="D44" s="1"/>
    </row>
    <row r="45" spans="1:8">
      <c r="B45" s="5"/>
      <c r="C45" s="5"/>
      <c r="D45" s="58" t="s">
        <v>40</v>
      </c>
      <c r="E45" s="58" t="s">
        <v>41</v>
      </c>
      <c r="F45" s="58" t="s">
        <v>42</v>
      </c>
      <c r="G45" s="64" t="s">
        <v>45</v>
      </c>
      <c r="H45" s="36"/>
    </row>
    <row r="46" spans="1:8">
      <c r="B46" s="61" t="s">
        <v>36</v>
      </c>
      <c r="C46" s="62"/>
      <c r="D46" s="29">
        <f>+D21</f>
        <v>0.2</v>
      </c>
      <c r="E46" s="29">
        <f>+E21</f>
        <v>0.26700000000000002</v>
      </c>
      <c r="F46" s="29">
        <f>+F21</f>
        <v>0</v>
      </c>
      <c r="G46" s="36"/>
      <c r="H46" s="36"/>
    </row>
    <row r="47" spans="1:8">
      <c r="B47" s="72" t="s">
        <v>43</v>
      </c>
      <c r="C47" s="73"/>
      <c r="D47" s="17">
        <f>+$D$8</f>
        <v>90</v>
      </c>
      <c r="E47" s="17">
        <f>+$D$8</f>
        <v>90</v>
      </c>
      <c r="F47" s="17">
        <f>+$D$8</f>
        <v>90</v>
      </c>
      <c r="G47" s="36"/>
      <c r="H47" s="36"/>
    </row>
    <row r="48" spans="1:8">
      <c r="B48" s="72" t="s">
        <v>47</v>
      </c>
      <c r="C48" s="73"/>
      <c r="D48" s="12">
        <f>ROUND(D46*D47,0)</f>
        <v>18</v>
      </c>
      <c r="E48" s="12">
        <f>MIN(ROUND(E46*E47,0),MAX($D$7-D48,0))</f>
        <v>24</v>
      </c>
      <c r="F48" s="12">
        <f>MIN(ROUND(F46*F47,0),MAX($D$7-D48-E48,0))</f>
        <v>0</v>
      </c>
      <c r="G48" s="36"/>
      <c r="H48" s="36"/>
    </row>
    <row r="49" spans="1:8">
      <c r="B49" s="72" t="s">
        <v>44</v>
      </c>
      <c r="C49" s="73"/>
      <c r="D49" s="29">
        <f>+'Tarifas agua'!D16</f>
        <v>0.26400000000000001</v>
      </c>
      <c r="E49" s="29">
        <f>+'Tarifas agua'!D17</f>
        <v>0.63300000000000001</v>
      </c>
      <c r="F49" s="29">
        <f>+'Tarifas agua'!D18</f>
        <v>1.5820000000000001</v>
      </c>
      <c r="G49" s="36"/>
      <c r="H49" s="36"/>
    </row>
    <row r="50" spans="1:8">
      <c r="B50" s="72" t="s">
        <v>21</v>
      </c>
      <c r="C50" s="73"/>
      <c r="D50" s="12">
        <f>+ROUND(D48*D49,2)</f>
        <v>4.75</v>
      </c>
      <c r="E50" s="12">
        <f>+ROUND(E48*E49,2)</f>
        <v>15.19</v>
      </c>
      <c r="F50" s="12">
        <f>+F48*F49</f>
        <v>0</v>
      </c>
      <c r="G50" s="33">
        <f>SUM(D50:F50)</f>
        <v>19.939999999999998</v>
      </c>
      <c r="H50" s="36"/>
    </row>
    <row r="51" spans="1:8">
      <c r="F51" s="35"/>
      <c r="G51" s="36"/>
      <c r="H51" s="36"/>
    </row>
    <row r="52" spans="1:8">
      <c r="E52" s="35"/>
      <c r="F52" s="36"/>
      <c r="G52" s="36"/>
    </row>
    <row r="53" spans="1:8">
      <c r="E53" s="35"/>
      <c r="F53" s="36"/>
      <c r="G53" s="36"/>
    </row>
    <row r="54" spans="1:8">
      <c r="E54" s="35"/>
      <c r="F54" s="36"/>
      <c r="G54" s="36"/>
    </row>
    <row r="55" spans="1:8">
      <c r="E55" s="35"/>
      <c r="F55" s="36"/>
      <c r="G55" s="36"/>
    </row>
    <row r="57" spans="1:8">
      <c r="A57" s="4" t="s">
        <v>65</v>
      </c>
    </row>
    <row r="58" spans="1:8">
      <c r="A58" s="4"/>
      <c r="B58" s="4" t="s">
        <v>69</v>
      </c>
    </row>
    <row r="59" spans="1:8">
      <c r="B59" s="28" t="s">
        <v>66</v>
      </c>
      <c r="C59" s="42"/>
      <c r="D59" s="18">
        <f>+G27</f>
        <v>22.744199999999999</v>
      </c>
    </row>
    <row r="60" spans="1:8">
      <c r="B60" s="12" t="s">
        <v>22</v>
      </c>
      <c r="C60" s="17">
        <f>+G16</f>
        <v>6.8921999999999999</v>
      </c>
    </row>
    <row r="61" spans="1:8">
      <c r="B61" s="12" t="s">
        <v>21</v>
      </c>
      <c r="C61" s="53">
        <f>+G25</f>
        <v>15.851999999999999</v>
      </c>
    </row>
    <row r="62" spans="1:8">
      <c r="B62" s="45" t="s">
        <v>67</v>
      </c>
      <c r="C62" s="37"/>
      <c r="D62" s="12">
        <f>+G35</f>
        <v>14.21</v>
      </c>
    </row>
    <row r="63" spans="1:8">
      <c r="B63" s="28" t="s">
        <v>68</v>
      </c>
      <c r="C63" s="42"/>
      <c r="D63" s="17">
        <f>+D59+D62</f>
        <v>36.9542</v>
      </c>
    </row>
    <row r="64" spans="1:8">
      <c r="B64" s="12" t="s">
        <v>26</v>
      </c>
      <c r="C64" s="20">
        <v>0.1</v>
      </c>
      <c r="D64" s="17">
        <f>+D63*C64</f>
        <v>3.6954200000000004</v>
      </c>
    </row>
    <row r="65" spans="1:5">
      <c r="B65" s="43" t="s">
        <v>45</v>
      </c>
      <c r="C65" s="44"/>
      <c r="D65" s="17">
        <f>+D63+D64</f>
        <v>40.649619999999999</v>
      </c>
    </row>
    <row r="67" spans="1:5">
      <c r="A67" s="4"/>
      <c r="B67" s="4" t="s">
        <v>70</v>
      </c>
    </row>
    <row r="68" spans="1:5">
      <c r="B68" s="14" t="s">
        <v>22</v>
      </c>
      <c r="C68" s="16"/>
      <c r="D68" s="17">
        <f>+E42</f>
        <v>4.8617999999999997</v>
      </c>
    </row>
    <row r="69" spans="1:5">
      <c r="B69" s="14" t="s">
        <v>21</v>
      </c>
      <c r="C69" s="16"/>
      <c r="D69" s="53">
        <f>G50</f>
        <v>19.939999999999998</v>
      </c>
    </row>
    <row r="70" spans="1:5">
      <c r="B70" s="28" t="s">
        <v>68</v>
      </c>
      <c r="C70" s="42"/>
      <c r="D70" s="17">
        <f>SUM(D68:D69)</f>
        <v>24.801799999999997</v>
      </c>
    </row>
    <row r="71" spans="1:5">
      <c r="B71" s="12" t="s">
        <v>26</v>
      </c>
      <c r="C71" s="20">
        <v>0.1</v>
      </c>
      <c r="D71" s="17">
        <f>+D70*C71</f>
        <v>2.4801799999999998</v>
      </c>
    </row>
    <row r="72" spans="1:5">
      <c r="B72" s="43" t="s">
        <v>45</v>
      </c>
      <c r="C72" s="44"/>
      <c r="D72" s="44"/>
      <c r="E72" s="17">
        <f>+D70+D71</f>
        <v>27.281979999999997</v>
      </c>
    </row>
    <row r="75" spans="1:5">
      <c r="B75" s="31" t="s">
        <v>73</v>
      </c>
      <c r="C75" s="46"/>
      <c r="D75" s="46"/>
      <c r="E75" s="19">
        <f>+D65+E72</f>
        <v>67.931600000000003</v>
      </c>
    </row>
  </sheetData>
  <pageMargins left="0.7" right="0.7" top="0.75" bottom="0.75" header="0.3" footer="0.3"/>
  <pageSetup paperSize="9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D30" sqref="D30"/>
    </sheetView>
  </sheetViews>
  <sheetFormatPr baseColWidth="10" defaultRowHeight="14.4"/>
  <cols>
    <col min="3" max="3" width="14.21875" customWidth="1"/>
    <col min="16" max="16" width="12.6640625" bestFit="1" customWidth="1"/>
  </cols>
  <sheetData>
    <row r="1" spans="1:6" s="4" customFormat="1" ht="22.8">
      <c r="A1" s="39" t="s">
        <v>50</v>
      </c>
    </row>
    <row r="2" spans="1:6" ht="22.8">
      <c r="A2" s="39" t="s">
        <v>49</v>
      </c>
    </row>
    <row r="3" spans="1:6" ht="13.8" customHeight="1">
      <c r="A3" s="38"/>
    </row>
    <row r="7" spans="1:6">
      <c r="C7" t="s">
        <v>29</v>
      </c>
      <c r="D7">
        <f>+Agua!D7</f>
        <v>42</v>
      </c>
    </row>
    <row r="8" spans="1:6">
      <c r="C8" t="s">
        <v>35</v>
      </c>
      <c r="D8">
        <f>+Agua!D8</f>
        <v>90</v>
      </c>
    </row>
    <row r="9" spans="1:6">
      <c r="C9" t="s">
        <v>36</v>
      </c>
      <c r="D9" s="25">
        <f>ROUND(D7/D8*1000,0)</f>
        <v>467</v>
      </c>
      <c r="E9" t="s">
        <v>37</v>
      </c>
    </row>
    <row r="10" spans="1:6">
      <c r="C10" t="s">
        <v>36</v>
      </c>
      <c r="D10" s="26">
        <f>+D9/1000</f>
        <v>0.46700000000000003</v>
      </c>
      <c r="E10" t="s">
        <v>38</v>
      </c>
    </row>
    <row r="12" spans="1:6">
      <c r="B12" s="4" t="s">
        <v>72</v>
      </c>
    </row>
    <row r="13" spans="1:6">
      <c r="C13" s="5" t="s">
        <v>22</v>
      </c>
    </row>
    <row r="14" spans="1:6">
      <c r="C14" t="s">
        <v>23</v>
      </c>
      <c r="D14" s="13">
        <v>20</v>
      </c>
    </row>
    <row r="15" spans="1:6" ht="28.8">
      <c r="C15" s="5"/>
      <c r="D15" s="30" t="s">
        <v>48</v>
      </c>
      <c r="E15" s="30" t="s">
        <v>43</v>
      </c>
      <c r="F15" s="30" t="s">
        <v>46</v>
      </c>
    </row>
    <row r="16" spans="1:6">
      <c r="C16" s="12" t="s">
        <v>22</v>
      </c>
      <c r="D16" s="29">
        <f>+'Tarifas agua'!H5+'Tarifas agua'!I5</f>
        <v>0.13059999999999999</v>
      </c>
      <c r="E16" s="17">
        <f>+$D$8</f>
        <v>90</v>
      </c>
      <c r="F16" s="17">
        <f>+D16*E16</f>
        <v>11.754</v>
      </c>
    </row>
    <row r="18" spans="2:11">
      <c r="C18" s="5" t="s">
        <v>39</v>
      </c>
      <c r="E18" s="1"/>
      <c r="F18" s="1"/>
    </row>
    <row r="19" spans="2:11">
      <c r="C19" s="5"/>
      <c r="D19" s="5"/>
      <c r="E19" s="12" t="s">
        <v>40</v>
      </c>
      <c r="F19" s="12" t="s">
        <v>41</v>
      </c>
      <c r="G19" s="12" t="s">
        <v>42</v>
      </c>
      <c r="H19" s="31" t="s">
        <v>21</v>
      </c>
      <c r="I19" s="36"/>
      <c r="J19" s="36"/>
      <c r="K19" s="36"/>
    </row>
    <row r="20" spans="2:11">
      <c r="C20" s="79" t="s">
        <v>36</v>
      </c>
      <c r="D20" s="79"/>
      <c r="E20" s="29">
        <f>+IF($D$10&gt;'Tarifas agua'!$A$6,'Tarifas agua'!$A$6,$D$10)</f>
        <v>0.2</v>
      </c>
      <c r="F20" s="29">
        <f>+IF($D$10&lt;'Tarifas agua'!$A$6,0,IF($D$10&gt;'Tarifas agua'!$A$7,'Tarifas agua'!$C$6,$D$10-'Tarifas agua'!$A$6))</f>
        <v>0.26700000000000002</v>
      </c>
      <c r="G20" s="29">
        <f>+IF($D$10&lt;'Tarifas agua'!$A$7,0,$D$10-'Tarifas agua'!$A$7)</f>
        <v>0</v>
      </c>
      <c r="H20" s="32">
        <f>SUM(E20:G20)</f>
        <v>0.46700000000000003</v>
      </c>
      <c r="I20" s="36"/>
      <c r="J20" s="36"/>
      <c r="K20" s="36"/>
    </row>
    <row r="21" spans="2:11">
      <c r="C21" s="79" t="s">
        <v>43</v>
      </c>
      <c r="D21" s="79"/>
      <c r="E21" s="17">
        <f>+$D$8</f>
        <v>90</v>
      </c>
      <c r="F21" s="17">
        <f>+$D$8</f>
        <v>90</v>
      </c>
      <c r="G21" s="17">
        <f>+$D$8</f>
        <v>90</v>
      </c>
      <c r="H21" s="27">
        <f>VLOOKUP(H20,'Tarifas agua'!$A$5:$D$7,2)+(H20-VLOOKUP(H20,'Tarifas agua'!$A$5:$D$7,1))*VLOOKUP(H20,'Tarifas agua'!$A$5:$D$7,4)</f>
        <v>0.17430100000000001</v>
      </c>
      <c r="I21" s="36"/>
      <c r="J21" s="36"/>
      <c r="K21" s="36"/>
    </row>
    <row r="22" spans="2:11">
      <c r="C22" s="79" t="s">
        <v>46</v>
      </c>
      <c r="D22" s="79"/>
      <c r="E22" s="17">
        <f>+E20*E21</f>
        <v>18</v>
      </c>
      <c r="F22" s="17">
        <f>+F20*F21</f>
        <v>24.03</v>
      </c>
      <c r="G22" s="17">
        <f>+G20*G21</f>
        <v>0</v>
      </c>
      <c r="H22" s="27"/>
      <c r="I22" s="36"/>
      <c r="J22" s="36"/>
      <c r="K22" s="36"/>
    </row>
    <row r="23" spans="2:11">
      <c r="C23" s="79" t="s">
        <v>47</v>
      </c>
      <c r="D23" s="79"/>
      <c r="E23" s="12">
        <f>ROUND(E20*E21,0)</f>
        <v>18</v>
      </c>
      <c r="F23" s="12">
        <f>MIN(ROUND(F20*F21,0),MAX($D$7-E23,0))</f>
        <v>24</v>
      </c>
      <c r="G23" s="12">
        <f>MIN(ROUND(G20*G21,0),MAX($D$7-E23-F23,0))</f>
        <v>0</v>
      </c>
      <c r="H23" s="27"/>
      <c r="I23" s="36"/>
      <c r="J23" s="36"/>
      <c r="K23" s="36"/>
    </row>
    <row r="24" spans="2:11">
      <c r="C24" s="79" t="s">
        <v>44</v>
      </c>
      <c r="D24" s="79"/>
      <c r="E24" s="29">
        <f>'Tarifas agua'!D22</f>
        <v>0.47399999999999998</v>
      </c>
      <c r="F24" s="29">
        <f>+'Tarifas agua'!D23</f>
        <v>1.1360000000000001</v>
      </c>
      <c r="G24" s="29">
        <f>+'Tarifas agua'!D24</f>
        <v>2.84</v>
      </c>
      <c r="H24" s="33"/>
      <c r="I24" s="36"/>
      <c r="J24" s="36"/>
      <c r="K24" s="36"/>
    </row>
    <row r="25" spans="2:11">
      <c r="C25" s="79" t="s">
        <v>21</v>
      </c>
      <c r="D25" s="79"/>
      <c r="E25" s="12">
        <f>+ROUND(E23*E24,2)</f>
        <v>8.5299999999999994</v>
      </c>
      <c r="F25" s="12">
        <f>+ROUND(F23*F24,2)</f>
        <v>27.26</v>
      </c>
      <c r="G25" s="12">
        <f>+G23*G24</f>
        <v>0</v>
      </c>
      <c r="H25" s="33">
        <f>SUM(E25:G25)</f>
        <v>35.79</v>
      </c>
      <c r="I25" s="36">
        <f>+H20*H21*90</f>
        <v>7.3258710300000001</v>
      </c>
      <c r="J25" s="36"/>
      <c r="K25" s="36"/>
    </row>
    <row r="27" spans="2:11">
      <c r="B27" s="4" t="s">
        <v>61</v>
      </c>
    </row>
    <row r="28" spans="2:11" ht="28.8">
      <c r="C28" s="33" t="s">
        <v>55</v>
      </c>
      <c r="D28" s="30" t="s">
        <v>60</v>
      </c>
      <c r="E28" s="30" t="s">
        <v>59</v>
      </c>
      <c r="F28" s="30" t="s">
        <v>45</v>
      </c>
    </row>
    <row r="29" spans="2:11">
      <c r="C29" s="33" t="s">
        <v>58</v>
      </c>
      <c r="D29" s="12">
        <f>+IF($D$7&lt;0.283,'Tarifas agua'!D11,'Tarifas agua'!D12)</f>
        <v>38.15</v>
      </c>
      <c r="E29" s="12">
        <f>+IF($D$7&lt;0.283,'Tarifas agua'!C11,'Tarifas agua'!C12)</f>
        <v>19.48</v>
      </c>
    </row>
    <row r="30" spans="2:11">
      <c r="C30" s="12" t="s">
        <v>56</v>
      </c>
      <c r="D30" s="12">
        <f>TRUNC(D29/365,4)</f>
        <v>0.1045</v>
      </c>
      <c r="E30" s="12">
        <f>TRUNC(E29/365,4)</f>
        <v>5.33E-2</v>
      </c>
    </row>
    <row r="31" spans="2:11">
      <c r="C31" s="12" t="s">
        <v>57</v>
      </c>
      <c r="D31" s="12">
        <f>+D8</f>
        <v>90</v>
      </c>
      <c r="E31" s="12">
        <f>+D8</f>
        <v>90</v>
      </c>
    </row>
    <row r="32" spans="2:11">
      <c r="C32" s="33" t="s">
        <v>45</v>
      </c>
      <c r="D32" s="33">
        <f>ROUND(D30*D31,2)</f>
        <v>9.41</v>
      </c>
      <c r="E32" s="33">
        <f>ROUND(E30*E31,2)</f>
        <v>4.8</v>
      </c>
      <c r="F32" s="33">
        <f>SUM(D32:E32)</f>
        <v>14.21</v>
      </c>
    </row>
    <row r="35" spans="2:5">
      <c r="B35" s="4" t="s">
        <v>65</v>
      </c>
    </row>
    <row r="36" spans="2:5" ht="15" customHeight="1">
      <c r="B36" s="4"/>
      <c r="C36" s="4" t="s">
        <v>69</v>
      </c>
    </row>
    <row r="37" spans="2:5">
      <c r="C37" s="12" t="s">
        <v>22</v>
      </c>
      <c r="D37" s="17">
        <f>+F16</f>
        <v>11.754</v>
      </c>
    </row>
    <row r="38" spans="2:5">
      <c r="C38" s="12" t="s">
        <v>21</v>
      </c>
      <c r="D38" s="12">
        <f>+H25</f>
        <v>35.79</v>
      </c>
    </row>
    <row r="39" spans="2:5">
      <c r="C39" s="28" t="s">
        <v>66</v>
      </c>
      <c r="D39" s="42"/>
      <c r="E39" s="18">
        <f>+D37+D38</f>
        <v>47.543999999999997</v>
      </c>
    </row>
    <row r="40" spans="2:5">
      <c r="C40" s="45" t="s">
        <v>67</v>
      </c>
      <c r="D40" s="37"/>
      <c r="E40" s="12">
        <f>+F32</f>
        <v>14.21</v>
      </c>
    </row>
    <row r="41" spans="2:5">
      <c r="C41" s="28" t="s">
        <v>68</v>
      </c>
      <c r="D41" s="42"/>
      <c r="E41" s="17">
        <f>+E39+E40</f>
        <v>61.753999999999998</v>
      </c>
    </row>
    <row r="42" spans="2:5">
      <c r="C42" s="12" t="s">
        <v>26</v>
      </c>
      <c r="D42" s="20">
        <v>0.1</v>
      </c>
      <c r="E42" s="17">
        <f>+E41*D42</f>
        <v>6.1753999999999998</v>
      </c>
    </row>
    <row r="43" spans="2:5">
      <c r="C43" s="47" t="s">
        <v>45</v>
      </c>
      <c r="D43" s="48"/>
      <c r="E43" s="19">
        <f>+E41+E42</f>
        <v>67.929400000000001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"/>
  <sheetViews>
    <sheetView workbookViewId="0">
      <selection activeCell="D8" sqref="D8"/>
    </sheetView>
  </sheetViews>
  <sheetFormatPr baseColWidth="10" defaultRowHeight="14.4"/>
  <cols>
    <col min="1" max="1" width="25" customWidth="1"/>
  </cols>
  <sheetData>
    <row r="4" spans="1:4">
      <c r="A4" s="24" t="s">
        <v>27</v>
      </c>
      <c r="B4" s="12">
        <v>5.5</v>
      </c>
      <c r="C4" s="12">
        <v>19.23</v>
      </c>
    </row>
    <row r="5" spans="1:4">
      <c r="A5" s="5" t="s">
        <v>28</v>
      </c>
    </row>
    <row r="6" spans="1:4">
      <c r="A6" s="12" t="s">
        <v>29</v>
      </c>
      <c r="B6" s="12">
        <v>251</v>
      </c>
    </row>
    <row r="7" spans="1:4">
      <c r="A7" s="12" t="s">
        <v>30</v>
      </c>
      <c r="B7" s="12">
        <f>+C7/B6</f>
        <v>0.1148207171314741</v>
      </c>
      <c r="C7" s="12">
        <v>28.82</v>
      </c>
    </row>
    <row r="8" spans="1:4">
      <c r="A8" s="14" t="s">
        <v>31</v>
      </c>
      <c r="B8" s="16"/>
      <c r="C8">
        <f>SUM(C4:C7)</f>
        <v>48.05</v>
      </c>
      <c r="D8">
        <f>+C8</f>
        <v>48.05</v>
      </c>
    </row>
    <row r="9" spans="1:4">
      <c r="A9" s="12" t="s">
        <v>32</v>
      </c>
      <c r="B9" s="12">
        <f>+C8</f>
        <v>48.05</v>
      </c>
      <c r="C9" s="22">
        <v>5.1130000000000002E-2</v>
      </c>
      <c r="D9" s="17">
        <f>C8*C9</f>
        <v>2.4567964999999998</v>
      </c>
    </row>
    <row r="10" spans="1:4">
      <c r="A10" s="14" t="s">
        <v>34</v>
      </c>
      <c r="B10" s="15"/>
      <c r="C10" s="23"/>
      <c r="D10" s="1">
        <v>0.83</v>
      </c>
    </row>
    <row r="11" spans="1:4">
      <c r="A11" s="12" t="s">
        <v>26</v>
      </c>
      <c r="B11" s="17">
        <f>+D8+D9+D10</f>
        <v>51.336796499999998</v>
      </c>
      <c r="C11" s="21">
        <v>0.21</v>
      </c>
      <c r="D11" s="17">
        <f>B11*C11</f>
        <v>10.780727264999999</v>
      </c>
    </row>
    <row r="12" spans="1:4">
      <c r="B12" t="s">
        <v>33</v>
      </c>
      <c r="D12" s="1">
        <f>SUM(D8:D11)</f>
        <v>62.117523765000001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6"/>
  <sheetViews>
    <sheetView workbookViewId="0">
      <selection activeCell="A6" sqref="A6:D11"/>
    </sheetView>
  </sheetViews>
  <sheetFormatPr baseColWidth="10" defaultRowHeight="14.4"/>
  <cols>
    <col min="1" max="1" width="23.88671875" customWidth="1"/>
    <col min="2" max="2" width="12.44140625" bestFit="1" customWidth="1"/>
  </cols>
  <sheetData>
    <row r="4" spans="1:4">
      <c r="A4" s="4" t="s">
        <v>77</v>
      </c>
    </row>
    <row r="5" spans="1:4">
      <c r="A5" s="4"/>
    </row>
    <row r="6" spans="1:4" ht="28.8">
      <c r="A6" s="4" t="s">
        <v>78</v>
      </c>
      <c r="B6" s="4" t="s">
        <v>79</v>
      </c>
      <c r="C6" s="81" t="s">
        <v>122</v>
      </c>
      <c r="D6" t="s">
        <v>121</v>
      </c>
    </row>
    <row r="7" spans="1:4">
      <c r="A7" t="s">
        <v>75</v>
      </c>
      <c r="B7" s="49">
        <v>975351846</v>
      </c>
      <c r="C7" s="80">
        <v>14659</v>
      </c>
      <c r="D7" s="76" t="str">
        <f>TEXT(C7,"mm/dd")</f>
        <v>02/18</v>
      </c>
    </row>
    <row r="8" spans="1:4">
      <c r="A8" t="s">
        <v>76</v>
      </c>
      <c r="B8" s="49">
        <v>912357425</v>
      </c>
      <c r="C8" s="80">
        <v>17217</v>
      </c>
      <c r="D8" s="76" t="str">
        <f>TEXT(C8,"mm/dd")</f>
        <v>02/19</v>
      </c>
    </row>
    <row r="9" spans="1:4">
      <c r="A9" t="s">
        <v>81</v>
      </c>
      <c r="B9" s="49">
        <v>983344427</v>
      </c>
      <c r="C9" s="80">
        <v>11127</v>
      </c>
      <c r="D9" s="76" t="str">
        <f>TEXT(C9,"mm/dd")</f>
        <v>06/18</v>
      </c>
    </row>
    <row r="10" spans="1:4">
      <c r="A10" t="s">
        <v>80</v>
      </c>
      <c r="B10" s="49">
        <v>921347542</v>
      </c>
      <c r="C10" s="80">
        <v>10130</v>
      </c>
      <c r="D10" s="76" t="str">
        <f>TEXT(C10,"mm/dd")</f>
        <v>09/25</v>
      </c>
    </row>
    <row r="11" spans="1:4">
      <c r="A11" t="s">
        <v>74</v>
      </c>
      <c r="B11" s="49">
        <v>976757473</v>
      </c>
      <c r="C11" s="80">
        <v>11287</v>
      </c>
      <c r="D11" s="76" t="str">
        <f>TEXT(C11,"mm/dd")</f>
        <v>11/25</v>
      </c>
    </row>
    <row r="16" spans="1:4">
      <c r="B16">
        <v>55</v>
      </c>
    </row>
  </sheetData>
  <sortState ref="A7:D11">
    <sortCondition ref="D7:D11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A11" sqref="A11:XFD19"/>
    </sheetView>
  </sheetViews>
  <sheetFormatPr baseColWidth="10" defaultRowHeight="14.4"/>
  <cols>
    <col min="1" max="1" width="22.44140625" bestFit="1" customWidth="1"/>
    <col min="2" max="2" width="11" customWidth="1"/>
  </cols>
  <sheetData>
    <row r="2" spans="1:4">
      <c r="A2" s="4" t="s">
        <v>105</v>
      </c>
    </row>
    <row r="3" spans="1:4">
      <c r="B3" s="50" t="s">
        <v>84</v>
      </c>
      <c r="C3" s="50" t="s">
        <v>85</v>
      </c>
      <c r="D3" s="50" t="s">
        <v>86</v>
      </c>
    </row>
    <row r="4" spans="1:4">
      <c r="A4" s="12" t="s">
        <v>106</v>
      </c>
      <c r="B4" s="17">
        <v>5</v>
      </c>
      <c r="C4" s="17">
        <v>80</v>
      </c>
      <c r="D4" s="17">
        <f>+B4*C4</f>
        <v>400</v>
      </c>
    </row>
    <row r="5" spans="1:4">
      <c r="A5" s="12" t="s">
        <v>107</v>
      </c>
      <c r="B5" s="17">
        <v>10</v>
      </c>
      <c r="C5" s="17">
        <v>20</v>
      </c>
      <c r="D5" s="17">
        <f>+B5*C5</f>
        <v>200</v>
      </c>
    </row>
    <row r="6" spans="1:4">
      <c r="A6" s="12" t="s">
        <v>108</v>
      </c>
      <c r="B6" s="17">
        <v>2</v>
      </c>
      <c r="C6" s="17">
        <v>90</v>
      </c>
      <c r="D6" s="17">
        <f>+B6*C6</f>
        <v>180</v>
      </c>
    </row>
    <row r="7" spans="1:4">
      <c r="A7" s="12" t="s">
        <v>109</v>
      </c>
      <c r="B7" s="17">
        <v>5</v>
      </c>
      <c r="C7" s="17">
        <v>3</v>
      </c>
      <c r="D7" s="17">
        <f>+B7*C7</f>
        <v>15</v>
      </c>
    </row>
    <row r="8" spans="1:4">
      <c r="D8" s="19">
        <f>SUM(D4:D7)</f>
        <v>795</v>
      </c>
    </row>
    <row r="11" spans="1:4">
      <c r="A11" s="4" t="s">
        <v>90</v>
      </c>
    </row>
    <row r="12" spans="1:4">
      <c r="B12" s="50" t="s">
        <v>84</v>
      </c>
      <c r="C12" s="50" t="s">
        <v>85</v>
      </c>
      <c r="D12" s="50" t="s">
        <v>86</v>
      </c>
    </row>
    <row r="13" spans="1:4">
      <c r="A13" s="12" t="s">
        <v>82</v>
      </c>
      <c r="B13" s="17">
        <v>3</v>
      </c>
      <c r="C13" s="17">
        <v>15</v>
      </c>
      <c r="D13" s="17">
        <f t="shared" ref="D13:D18" si="0">+B13*C13</f>
        <v>45</v>
      </c>
    </row>
    <row r="14" spans="1:4">
      <c r="A14" s="12" t="s">
        <v>83</v>
      </c>
      <c r="B14" s="17">
        <v>10</v>
      </c>
      <c r="C14" s="17">
        <v>2</v>
      </c>
      <c r="D14" s="17">
        <f t="shared" si="0"/>
        <v>20</v>
      </c>
    </row>
    <row r="15" spans="1:4">
      <c r="A15" s="12" t="s">
        <v>87</v>
      </c>
      <c r="B15" s="17">
        <v>2</v>
      </c>
      <c r="C15" s="17">
        <v>3</v>
      </c>
      <c r="D15" s="17">
        <f t="shared" si="0"/>
        <v>6</v>
      </c>
    </row>
    <row r="16" spans="1:4">
      <c r="A16" s="12" t="s">
        <v>88</v>
      </c>
      <c r="B16" s="17">
        <v>2</v>
      </c>
      <c r="C16" s="17">
        <v>1.5</v>
      </c>
      <c r="D16" s="17">
        <f t="shared" si="0"/>
        <v>3</v>
      </c>
    </row>
    <row r="17" spans="1:4">
      <c r="A17" s="12" t="s">
        <v>91</v>
      </c>
      <c r="B17" s="17">
        <v>2</v>
      </c>
      <c r="C17" s="17">
        <v>1.8</v>
      </c>
      <c r="D17" s="17">
        <f t="shared" si="0"/>
        <v>3.6</v>
      </c>
    </row>
    <row r="18" spans="1:4">
      <c r="A18" s="12" t="s">
        <v>89</v>
      </c>
      <c r="B18" s="17">
        <v>2</v>
      </c>
      <c r="C18" s="17">
        <v>3</v>
      </c>
      <c r="D18" s="17">
        <f t="shared" si="0"/>
        <v>6</v>
      </c>
    </row>
    <row r="19" spans="1:4">
      <c r="D19" s="19">
        <f>SUM(D13:D18)</f>
        <v>83.6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7"/>
  <sheetViews>
    <sheetView zoomScale="130" zoomScaleNormal="130" workbookViewId="0">
      <selection activeCell="A4" sqref="A4:I22"/>
    </sheetView>
  </sheetViews>
  <sheetFormatPr baseColWidth="10" defaultRowHeight="14.4"/>
  <cols>
    <col min="3" max="5" width="11.5546875" style="1"/>
  </cols>
  <sheetData>
    <row r="4" spans="1:9">
      <c r="A4" s="64" t="s">
        <v>103</v>
      </c>
      <c r="B4" s="64" t="s">
        <v>92</v>
      </c>
      <c r="C4" s="75" t="s">
        <v>93</v>
      </c>
      <c r="D4" s="75" t="s">
        <v>94</v>
      </c>
      <c r="E4" s="75" t="s">
        <v>95</v>
      </c>
      <c r="F4" s="75" t="s">
        <v>97</v>
      </c>
      <c r="G4" s="75" t="s">
        <v>98</v>
      </c>
      <c r="H4" s="75" t="s">
        <v>116</v>
      </c>
      <c r="I4" s="75" t="s">
        <v>101</v>
      </c>
    </row>
    <row r="5" spans="1:9">
      <c r="A5" s="74">
        <v>43739</v>
      </c>
      <c r="B5" s="12" t="s">
        <v>96</v>
      </c>
      <c r="C5" s="17">
        <v>1500</v>
      </c>
      <c r="D5" s="17"/>
      <c r="E5" s="17">
        <f>+C5+-D5</f>
        <v>1500</v>
      </c>
      <c r="F5" s="12">
        <f>+IF(C5="Electricidad",E5,0)</f>
        <v>0</v>
      </c>
      <c r="G5" s="12">
        <f t="shared" ref="G5:G16" si="0">+IF(B5="Electricidad",D5,0)</f>
        <v>0</v>
      </c>
      <c r="H5" s="12">
        <f>+IF(D5="Electricidad",I5,0)</f>
        <v>0</v>
      </c>
      <c r="I5" s="12">
        <f t="shared" ref="I5:I16" si="1">+IF(B5="Agua",D5,0)</f>
        <v>0</v>
      </c>
    </row>
    <row r="6" spans="1:9">
      <c r="A6" s="74">
        <v>43740</v>
      </c>
      <c r="B6" s="12" t="s">
        <v>100</v>
      </c>
      <c r="C6" s="17"/>
      <c r="D6" s="17">
        <v>1000</v>
      </c>
      <c r="E6" s="17">
        <f t="shared" ref="E6:E12" si="2">+E5+C6-D6</f>
        <v>500</v>
      </c>
      <c r="F6" s="12">
        <f>+IF(C6="Electricidad",E6,0)</f>
        <v>0</v>
      </c>
      <c r="G6" s="12">
        <f t="shared" si="0"/>
        <v>0</v>
      </c>
      <c r="H6" s="12">
        <f>+IF(D6="Electricidad",I6,0)</f>
        <v>0</v>
      </c>
      <c r="I6" s="12">
        <f t="shared" si="1"/>
        <v>0</v>
      </c>
    </row>
    <row r="7" spans="1:9">
      <c r="A7" s="74">
        <v>43740</v>
      </c>
      <c r="B7" s="12" t="s">
        <v>101</v>
      </c>
      <c r="C7" s="17"/>
      <c r="D7" s="17">
        <v>50</v>
      </c>
      <c r="E7" s="17">
        <f t="shared" si="2"/>
        <v>450</v>
      </c>
      <c r="F7" s="12">
        <f>+IF(C7="Electricidad",E7,0)</f>
        <v>0</v>
      </c>
      <c r="G7" s="12">
        <f t="shared" si="0"/>
        <v>0</v>
      </c>
      <c r="H7" s="12">
        <f>+IF(D7="Electricidad",I7,0)</f>
        <v>0</v>
      </c>
      <c r="I7" s="17">
        <f t="shared" si="1"/>
        <v>50</v>
      </c>
    </row>
    <row r="8" spans="1:9">
      <c r="A8" s="74">
        <v>43743</v>
      </c>
      <c r="B8" s="12" t="s">
        <v>97</v>
      </c>
      <c r="C8" s="17"/>
      <c r="D8" s="17">
        <v>80</v>
      </c>
      <c r="E8" s="17">
        <f t="shared" si="2"/>
        <v>370</v>
      </c>
      <c r="F8" s="17">
        <f>+D8</f>
        <v>80</v>
      </c>
      <c r="G8" s="12">
        <f t="shared" si="0"/>
        <v>0</v>
      </c>
      <c r="H8" s="12">
        <f>+IF(D8="Electricidad",I8,0)</f>
        <v>0</v>
      </c>
      <c r="I8" s="12">
        <f t="shared" si="1"/>
        <v>0</v>
      </c>
    </row>
    <row r="9" spans="1:9">
      <c r="A9" s="74">
        <v>43746</v>
      </c>
      <c r="B9" s="12" t="s">
        <v>98</v>
      </c>
      <c r="C9" s="17"/>
      <c r="D9" s="17">
        <v>70</v>
      </c>
      <c r="E9" s="17">
        <f t="shared" si="2"/>
        <v>300</v>
      </c>
      <c r="F9" s="12">
        <f>+IF(C9="Electricidad",E9,0)</f>
        <v>0</v>
      </c>
      <c r="G9" s="17">
        <f t="shared" si="0"/>
        <v>70</v>
      </c>
      <c r="H9" s="12">
        <f>+IF(D9="Electricidad",I9,0)</f>
        <v>0</v>
      </c>
      <c r="I9" s="12">
        <f t="shared" si="1"/>
        <v>0</v>
      </c>
    </row>
    <row r="10" spans="1:9">
      <c r="A10" s="74">
        <v>43750</v>
      </c>
      <c r="B10" s="12" t="s">
        <v>99</v>
      </c>
      <c r="C10" s="17"/>
      <c r="D10" s="17">
        <v>40</v>
      </c>
      <c r="E10" s="17">
        <f t="shared" si="2"/>
        <v>260</v>
      </c>
      <c r="F10" s="12">
        <f>+IF(C10="Electricidad",E10,0)</f>
        <v>0</v>
      </c>
      <c r="G10" s="17">
        <f t="shared" si="0"/>
        <v>0</v>
      </c>
      <c r="H10" s="17">
        <f>+D10</f>
        <v>40</v>
      </c>
      <c r="I10" s="12">
        <f t="shared" si="1"/>
        <v>0</v>
      </c>
    </row>
    <row r="11" spans="1:9">
      <c r="A11" s="74">
        <v>43739</v>
      </c>
      <c r="B11" s="12" t="s">
        <v>96</v>
      </c>
      <c r="C11" s="17">
        <v>1500</v>
      </c>
      <c r="D11" s="17"/>
      <c r="E11" s="17">
        <f t="shared" si="2"/>
        <v>1760</v>
      </c>
      <c r="F11" s="12">
        <f>+IF(C11="Electricidad",E11,0)</f>
        <v>0</v>
      </c>
      <c r="G11" s="17">
        <f t="shared" si="0"/>
        <v>0</v>
      </c>
      <c r="H11" s="12">
        <f>+IF(D11="Electricidad",I11,0)</f>
        <v>0</v>
      </c>
      <c r="I11" s="12">
        <f t="shared" si="1"/>
        <v>0</v>
      </c>
    </row>
    <row r="12" spans="1:9">
      <c r="A12" s="74">
        <v>43740</v>
      </c>
      <c r="B12" s="12" t="s">
        <v>100</v>
      </c>
      <c r="C12" s="17"/>
      <c r="D12" s="17">
        <v>1000</v>
      </c>
      <c r="E12" s="17">
        <f t="shared" si="2"/>
        <v>760</v>
      </c>
      <c r="F12" s="12">
        <f>+IF(C12="Electricidad",E12,0)</f>
        <v>0</v>
      </c>
      <c r="G12" s="17">
        <f t="shared" si="0"/>
        <v>0</v>
      </c>
      <c r="H12" s="12">
        <f>+IF(D12="Electricidad",I12,0)</f>
        <v>0</v>
      </c>
      <c r="I12" s="12">
        <f t="shared" si="1"/>
        <v>0</v>
      </c>
    </row>
    <row r="13" spans="1:9">
      <c r="A13" s="74">
        <v>43740</v>
      </c>
      <c r="B13" s="12" t="s">
        <v>101</v>
      </c>
      <c r="C13" s="17"/>
      <c r="D13" s="17">
        <v>45</v>
      </c>
      <c r="E13" s="17">
        <f>+E12+C13-D13</f>
        <v>715</v>
      </c>
      <c r="F13" s="12">
        <f>+IF(C13="Electricidad",E13,0)</f>
        <v>0</v>
      </c>
      <c r="G13" s="17">
        <f t="shared" si="0"/>
        <v>0</v>
      </c>
      <c r="H13" s="12">
        <f>+IF(D13="Electricidad",I13,0)</f>
        <v>0</v>
      </c>
      <c r="I13" s="17">
        <f t="shared" si="1"/>
        <v>45</v>
      </c>
    </row>
    <row r="14" spans="1:9">
      <c r="A14" s="74">
        <v>43743</v>
      </c>
      <c r="B14" s="12" t="s">
        <v>97</v>
      </c>
      <c r="C14" s="17"/>
      <c r="D14" s="17">
        <v>80</v>
      </c>
      <c r="E14" s="17">
        <f>+E13+C14-D14</f>
        <v>635</v>
      </c>
      <c r="F14" s="17">
        <f>+D14</f>
        <v>80</v>
      </c>
      <c r="G14" s="17">
        <f t="shared" si="0"/>
        <v>0</v>
      </c>
      <c r="H14" s="12">
        <f>+IF(D14="Electricidad",I14,0)</f>
        <v>0</v>
      </c>
      <c r="I14" s="17">
        <f t="shared" si="1"/>
        <v>0</v>
      </c>
    </row>
    <row r="15" spans="1:9">
      <c r="A15" s="74">
        <v>43746</v>
      </c>
      <c r="B15" s="12" t="s">
        <v>98</v>
      </c>
      <c r="C15" s="17"/>
      <c r="D15" s="17">
        <v>75</v>
      </c>
      <c r="E15" s="17">
        <f>+E14+C15-D15</f>
        <v>560</v>
      </c>
      <c r="F15" s="12">
        <f>+IF(C15="Electricidad",E15,0)</f>
        <v>0</v>
      </c>
      <c r="G15" s="17">
        <f t="shared" si="0"/>
        <v>75</v>
      </c>
      <c r="H15" s="12">
        <f>+IF(D15="Electricidad",I15,0)</f>
        <v>0</v>
      </c>
      <c r="I15" s="17">
        <f t="shared" si="1"/>
        <v>0</v>
      </c>
    </row>
    <row r="16" spans="1:9">
      <c r="A16" s="74">
        <v>43750</v>
      </c>
      <c r="B16" s="12" t="s">
        <v>99</v>
      </c>
      <c r="C16" s="17"/>
      <c r="D16" s="17">
        <v>48</v>
      </c>
      <c r="E16" s="17">
        <f>+E15+C16-D16</f>
        <v>512</v>
      </c>
      <c r="F16" s="12">
        <f>+IF(C16="Electricidad",E16,0)</f>
        <v>0</v>
      </c>
      <c r="G16" s="17">
        <f t="shared" si="0"/>
        <v>0</v>
      </c>
      <c r="H16" s="17">
        <f>+D16</f>
        <v>48</v>
      </c>
      <c r="I16" s="17">
        <f t="shared" si="1"/>
        <v>0</v>
      </c>
    </row>
    <row r="17" spans="1:9">
      <c r="A17" s="74"/>
      <c r="B17" s="12"/>
      <c r="C17" s="17"/>
      <c r="D17" s="17"/>
      <c r="E17" s="17"/>
      <c r="F17" s="17">
        <f>SUM(F5:F16)</f>
        <v>160</v>
      </c>
      <c r="G17" s="17">
        <f>SUM(G5:G16)</f>
        <v>145</v>
      </c>
      <c r="H17" s="17">
        <f>SUM(H5:H16)</f>
        <v>88</v>
      </c>
      <c r="I17" s="17">
        <f>SUM(I5:I16)</f>
        <v>95</v>
      </c>
    </row>
    <row r="18" spans="1:9">
      <c r="A18" s="51"/>
    </row>
    <row r="19" spans="1:9">
      <c r="A19" s="51"/>
      <c r="B19" s="12" t="s">
        <v>97</v>
      </c>
      <c r="C19" s="17">
        <f>+F17</f>
        <v>160</v>
      </c>
    </row>
    <row r="20" spans="1:9">
      <c r="A20" s="51"/>
      <c r="B20" s="12" t="s">
        <v>102</v>
      </c>
      <c r="C20" s="17">
        <f>+G17</f>
        <v>145</v>
      </c>
    </row>
    <row r="21" spans="1:9">
      <c r="A21" s="51"/>
      <c r="B21" s="12" t="s">
        <v>99</v>
      </c>
      <c r="C21" s="17">
        <f>+H17</f>
        <v>88</v>
      </c>
    </row>
    <row r="22" spans="1:9">
      <c r="A22" s="51"/>
      <c r="B22" s="12" t="s">
        <v>101</v>
      </c>
      <c r="C22" s="17">
        <f>+I17</f>
        <v>95</v>
      </c>
    </row>
    <row r="23" spans="1:9">
      <c r="A23" s="51"/>
    </row>
    <row r="24" spans="1:9">
      <c r="A24" s="51"/>
    </row>
    <row r="25" spans="1:9">
      <c r="A25" s="51"/>
    </row>
    <row r="26" spans="1:9">
      <c r="A26" s="51"/>
    </row>
    <row r="27" spans="1:9">
      <c r="A27" s="51"/>
    </row>
  </sheetData>
  <autoFilter ref="A4:E16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zoomScale="220" zoomScaleNormal="220" workbookViewId="0">
      <selection activeCell="A2" sqref="A2:E12"/>
    </sheetView>
  </sheetViews>
  <sheetFormatPr baseColWidth="10" defaultRowHeight="14.4"/>
  <cols>
    <col min="1" max="1" width="5.109375" customWidth="1"/>
    <col min="2" max="2" width="3.5546875" style="76" customWidth="1"/>
    <col min="3" max="4" width="2.77734375" customWidth="1"/>
    <col min="5" max="5" width="5.77734375" customWidth="1"/>
  </cols>
  <sheetData>
    <row r="2" spans="1:5">
      <c r="A2" s="31" t="s">
        <v>117</v>
      </c>
      <c r="B2" s="77"/>
      <c r="C2" s="78">
        <v>9</v>
      </c>
    </row>
    <row r="3" spans="1:5">
      <c r="A3" s="12">
        <v>1</v>
      </c>
      <c r="B3" s="58" t="s">
        <v>118</v>
      </c>
      <c r="C3" s="12">
        <f t="shared" ref="C3:C12" si="0">+$C$2</f>
        <v>9</v>
      </c>
      <c r="D3" s="58" t="s">
        <v>119</v>
      </c>
      <c r="E3" s="12">
        <f>+A3*C3</f>
        <v>9</v>
      </c>
    </row>
    <row r="4" spans="1:5">
      <c r="A4" s="12">
        <v>2</v>
      </c>
      <c r="B4" s="58" t="s">
        <v>118</v>
      </c>
      <c r="C4" s="12">
        <f t="shared" si="0"/>
        <v>9</v>
      </c>
      <c r="D4" s="58" t="s">
        <v>119</v>
      </c>
      <c r="E4" s="12">
        <f t="shared" ref="E4:E12" si="1">+A4*C4</f>
        <v>18</v>
      </c>
    </row>
    <row r="5" spans="1:5">
      <c r="A5" s="12">
        <v>3</v>
      </c>
      <c r="B5" s="58" t="s">
        <v>118</v>
      </c>
      <c r="C5" s="12">
        <f t="shared" si="0"/>
        <v>9</v>
      </c>
      <c r="D5" s="58" t="s">
        <v>119</v>
      </c>
      <c r="E5" s="12">
        <f t="shared" si="1"/>
        <v>27</v>
      </c>
    </row>
    <row r="6" spans="1:5">
      <c r="A6" s="12">
        <v>4</v>
      </c>
      <c r="B6" s="58" t="s">
        <v>118</v>
      </c>
      <c r="C6" s="12">
        <f t="shared" si="0"/>
        <v>9</v>
      </c>
      <c r="D6" s="58" t="s">
        <v>119</v>
      </c>
      <c r="E6" s="12">
        <f t="shared" si="1"/>
        <v>36</v>
      </c>
    </row>
    <row r="7" spans="1:5">
      <c r="A7" s="12">
        <v>5</v>
      </c>
      <c r="B7" s="58" t="s">
        <v>118</v>
      </c>
      <c r="C7" s="12">
        <f t="shared" si="0"/>
        <v>9</v>
      </c>
      <c r="D7" s="58" t="s">
        <v>119</v>
      </c>
      <c r="E7" s="12">
        <f t="shared" si="1"/>
        <v>45</v>
      </c>
    </row>
    <row r="8" spans="1:5">
      <c r="A8" s="12">
        <v>6</v>
      </c>
      <c r="B8" s="58" t="s">
        <v>118</v>
      </c>
      <c r="C8" s="12">
        <f t="shared" si="0"/>
        <v>9</v>
      </c>
      <c r="D8" s="58" t="s">
        <v>119</v>
      </c>
      <c r="E8" s="12">
        <f t="shared" si="1"/>
        <v>54</v>
      </c>
    </row>
    <row r="9" spans="1:5">
      <c r="A9" s="12">
        <v>7</v>
      </c>
      <c r="B9" s="58" t="s">
        <v>118</v>
      </c>
      <c r="C9" s="12">
        <f t="shared" si="0"/>
        <v>9</v>
      </c>
      <c r="D9" s="58" t="s">
        <v>119</v>
      </c>
      <c r="E9" s="12">
        <f t="shared" si="1"/>
        <v>63</v>
      </c>
    </row>
    <row r="10" spans="1:5">
      <c r="A10" s="12">
        <v>8</v>
      </c>
      <c r="B10" s="58" t="s">
        <v>118</v>
      </c>
      <c r="C10" s="12">
        <f t="shared" si="0"/>
        <v>9</v>
      </c>
      <c r="D10" s="58" t="s">
        <v>119</v>
      </c>
      <c r="E10" s="12">
        <f t="shared" si="1"/>
        <v>72</v>
      </c>
    </row>
    <row r="11" spans="1:5">
      <c r="A11" s="12">
        <v>9</v>
      </c>
      <c r="B11" s="58" t="s">
        <v>118</v>
      </c>
      <c r="C11" s="12">
        <f t="shared" si="0"/>
        <v>9</v>
      </c>
      <c r="D11" s="58" t="s">
        <v>119</v>
      </c>
      <c r="E11" s="12">
        <f t="shared" si="1"/>
        <v>81</v>
      </c>
    </row>
    <row r="12" spans="1:5">
      <c r="A12" s="12">
        <v>10</v>
      </c>
      <c r="B12" s="58" t="s">
        <v>118</v>
      </c>
      <c r="C12" s="12">
        <f t="shared" si="0"/>
        <v>9</v>
      </c>
      <c r="D12" s="58" t="s">
        <v>119</v>
      </c>
      <c r="E12" s="12">
        <f t="shared" si="1"/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IBI</vt:lpstr>
      <vt:lpstr>IBI2019</vt:lpstr>
      <vt:lpstr>Hoja1</vt:lpstr>
      <vt:lpstr>Tarifas agua</vt:lpstr>
      <vt:lpstr>Agua</vt:lpstr>
      <vt:lpstr>Agua.Simplificada</vt:lpstr>
      <vt:lpstr>Electricidad</vt:lpstr>
      <vt:lpstr>Telefonos</vt:lpstr>
      <vt:lpstr>Compra</vt:lpstr>
      <vt:lpstr>Bancos</vt:lpstr>
      <vt:lpstr>TablaMultiplicar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Félix</dc:creator>
  <cp:lastModifiedBy>Félix</cp:lastModifiedBy>
  <cp:lastPrinted>2019-11-11T07:50:53Z</cp:lastPrinted>
  <dcterms:created xsi:type="dcterms:W3CDTF">2019-05-23T15:15:50Z</dcterms:created>
  <dcterms:modified xsi:type="dcterms:W3CDTF">2019-12-03T17:45:07Z</dcterms:modified>
</cp:coreProperties>
</file>